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300" windowWidth="12120" windowHeight="7875" tabRatio="671" firstSheet="6" activeTab="8"/>
  </bookViews>
  <sheets>
    <sheet name="con &gt; 15 anni" sheetId="1" r:id="rId1"/>
    <sheet name="dopo 07.04.03 fino entr. con 3 " sheetId="2" r:id="rId2"/>
    <sheet name="dopo 07.04.03  fino entr. con 0" sheetId="3" r:id="rId3"/>
    <sheet name="part-time" sheetId="4" r:id="rId4"/>
    <sheet name="dopo entr. in vigore" sheetId="5" r:id="rId5"/>
    <sheet name="dopo entr. in vigore + Dienstan" sheetId="6" r:id="rId6"/>
    <sheet name="art. 21.4 str. semplice" sheetId="7" r:id="rId7"/>
    <sheet name="confronto con - senza" sheetId="8" r:id="rId8"/>
    <sheet name="art. 21.6" sheetId="9" r:id="rId9"/>
    <sheet name="geschäftsführender Pr. - V. Obe" sheetId="10" r:id="rId10"/>
  </sheets>
  <definedNames>
    <definedName name="_xlnm.Print_Area" localSheetId="6">'art. 21.4 str. semplice'!$A$1:$AC$45</definedName>
    <definedName name="_xlnm.Print_Area" localSheetId="8">'art. 21.6'!$A$1:$BQ$50</definedName>
    <definedName name="_xlnm.Print_Area" localSheetId="0">'con &gt; 15 anni'!$J$1:$AZ$48</definedName>
    <definedName name="_xlnm.Print_Area" localSheetId="7">'confronto con - senza'!$A$1:$AG$51</definedName>
    <definedName name="_xlnm.Print_Area" localSheetId="2">'dopo 07.04.03  fino entr. con 0'!$A$1:$AQ$48</definedName>
    <definedName name="_xlnm.Print_Area" localSheetId="1">'dopo 07.04.03 fino entr. con 3 '!$A$1:$AQ$48</definedName>
    <definedName name="_xlnm.Print_Area" localSheetId="4">'dopo entr. in vigore'!$A$1:$Z$39</definedName>
    <definedName name="_xlnm.Print_Area" localSheetId="5">'dopo entr. in vigore + Dienstan'!$A$1:$Z$36</definedName>
    <definedName name="_xlnm.Print_Area" localSheetId="3">'part-time'!$A$1:$AZ$38</definedName>
    <definedName name="Kosten">#REF!</definedName>
  </definedNames>
  <calcPr fullCalcOnLoad="1"/>
</workbook>
</file>

<file path=xl/comments8.xml><?xml version="1.0" encoding="utf-8"?>
<comments xmlns="http://schemas.openxmlformats.org/spreadsheetml/2006/main">
  <authors>
    <author>Dietmar Sparber</author>
  </authors>
  <commentList>
    <comment ref="E13" authorId="0">
      <text>
        <r>
          <rPr>
            <b/>
            <sz val="8"/>
            <rFont val="Tahoma"/>
            <family val="0"/>
          </rPr>
          <t>Dietmar Sparber:</t>
        </r>
        <r>
          <rPr>
            <sz val="8"/>
            <rFont val="Tahoma"/>
            <family val="0"/>
          </rPr>
          <t xml:space="preserve">
se gli è concesso dopo il 01.09.02 una struttura semplice il modulo (=126,80 €) non viene aggiunto </t>
        </r>
      </text>
    </comment>
    <comment ref="U13" authorId="0">
      <text>
        <r>
          <rPr>
            <b/>
            <sz val="8"/>
            <rFont val="Tahoma"/>
            <family val="0"/>
          </rPr>
          <t>Dietmar Sparber:</t>
        </r>
        <r>
          <rPr>
            <sz val="8"/>
            <rFont val="Tahoma"/>
            <family val="0"/>
          </rPr>
          <t xml:space="preserve">
se gli è concesso dopo il 01.09.02 una struttura semplice il modulo (=126,80 €) non viene aggiunto </t>
        </r>
      </text>
    </comment>
  </commentList>
</comments>
</file>

<file path=xl/sharedStrings.xml><?xml version="1.0" encoding="utf-8"?>
<sst xmlns="http://schemas.openxmlformats.org/spreadsheetml/2006/main" count="1095" uniqueCount="253">
  <si>
    <t>Trattamento fondamentale</t>
  </si>
  <si>
    <t>stipendio mensile</t>
  </si>
  <si>
    <t>stipendio annuo</t>
  </si>
  <si>
    <t>differenza</t>
  </si>
  <si>
    <t>Trattamento di posizione</t>
  </si>
  <si>
    <t>ind. di struttura semplice</t>
  </si>
  <si>
    <t>ind. di struttura complessa</t>
  </si>
  <si>
    <t>Trattamento accessorio</t>
  </si>
  <si>
    <t>ind. di risultato</t>
  </si>
  <si>
    <t>ind. per dipartimento… (art. 34 + 35)</t>
  </si>
  <si>
    <t>ora str. obbl. (Art. 54.4)</t>
  </si>
  <si>
    <t>ulteriore ora aggiuntiva programmata</t>
  </si>
  <si>
    <t>aumento della perc. ind. di risultatoa da 8% a 10%</t>
  </si>
  <si>
    <t>ulteriore ora aggiuntiva programmata/o parte</t>
  </si>
  <si>
    <t>+ 2/38</t>
  </si>
  <si>
    <t>ore agg. programmate (con 136 €)</t>
  </si>
  <si>
    <t>norma di garanzia</t>
  </si>
  <si>
    <t>attuale senza infl.</t>
  </si>
  <si>
    <t>nuovo con infl./attuale senza infl.</t>
  </si>
  <si>
    <t>nuovo con infl./attuale con infl.</t>
  </si>
  <si>
    <t>13 x</t>
  </si>
  <si>
    <t>ind. di posizione fissa storica</t>
  </si>
  <si>
    <t>assegno individuale</t>
  </si>
  <si>
    <t>Grundentlohnung</t>
  </si>
  <si>
    <t>Sonderergänzungszulage</t>
  </si>
  <si>
    <t>Ärztl. u. tierärztl. Spezialisierungszulage</t>
  </si>
  <si>
    <t>Ursprüngliche Zulage für fixe Position</t>
  </si>
  <si>
    <t>Zusätzliche Zulage für fixe Position</t>
  </si>
  <si>
    <t>Persönliche Zulage (Art. 17)</t>
  </si>
  <si>
    <t>Positionsentlohnung</t>
  </si>
  <si>
    <t>Funktionszulage der Verantwortlichen einf. Strukturen</t>
  </si>
  <si>
    <t>Funktionszulage der Direktoren komplexer Strukturen</t>
  </si>
  <si>
    <t>Funktionszulage laut Art. 34 + 35</t>
  </si>
  <si>
    <t>Zusatzentlohnung</t>
  </si>
  <si>
    <t>Ergebniszulage</t>
  </si>
  <si>
    <t>Garantiebestimmung</t>
  </si>
  <si>
    <t>zusätzliche 1 programmierte Zusatzstunde</t>
  </si>
  <si>
    <t>Erhöhung Ergebniszulage von 8% auf 10%</t>
  </si>
  <si>
    <t>zusätzliche programmierte Zusatzst. bzw. Bruchteil</t>
  </si>
  <si>
    <t>Programmierte Zusatzstunden (mit 136 €)</t>
  </si>
  <si>
    <t>Pflichtüberstunde (Art. 54.4)</t>
  </si>
  <si>
    <t>ind. di esclusività</t>
  </si>
  <si>
    <t>Totale</t>
  </si>
  <si>
    <t xml:space="preserve">Summe </t>
  </si>
  <si>
    <t xml:space="preserve">Exklusivitätszulage </t>
  </si>
  <si>
    <t>ore agg. programmate (con 109 €)</t>
  </si>
  <si>
    <t>Programmierte Zusatzstunden (mit Wert 109 €)</t>
  </si>
  <si>
    <t>con data 01.09.02/
08.04.03</t>
  </si>
  <si>
    <t>Acconto legge</t>
  </si>
  <si>
    <t>Intendità integr. spec.</t>
  </si>
  <si>
    <t>plusorario</t>
  </si>
  <si>
    <t>TOTALE</t>
  </si>
  <si>
    <t>ind. di billinguismo</t>
  </si>
  <si>
    <t>Ind. dirigenza medica</t>
  </si>
  <si>
    <t>Ind. specialisitica</t>
  </si>
  <si>
    <t>Ind. tempo pieno</t>
  </si>
  <si>
    <r>
      <t>I.I.S.</t>
    </r>
    <r>
      <rPr>
        <i/>
        <sz val="8"/>
        <rFont val="Tahoma"/>
        <family val="2"/>
      </rPr>
      <t xml:space="preserve"> (=acconto legge+I.I.S.)</t>
    </r>
  </si>
  <si>
    <t>nächster scatto 01.09.03</t>
  </si>
  <si>
    <t>mit Wert 136</t>
  </si>
  <si>
    <t>stipendio vecchio con data 31.08.02</t>
  </si>
  <si>
    <t>Programmierte Zusatzstunden (mit Wert 136 €)</t>
  </si>
  <si>
    <t>stipendio base</t>
  </si>
  <si>
    <t>a)</t>
  </si>
  <si>
    <t>b)</t>
  </si>
  <si>
    <t>c)</t>
  </si>
  <si>
    <t>due ore programmate aggiuntive del valore individuale di (136 € x 2 x 4,345 x 12):13 = 1.090,93 €</t>
  </si>
  <si>
    <t xml:space="preserve">ind. per dipartimento… </t>
  </si>
  <si>
    <t>importo totale annuo di tutte le ore programmate aggiuntive percepite (136 € x 4 x 4,345 x 12) = 28.364,16 €</t>
  </si>
  <si>
    <t xml:space="preserve">per determinare l'importo mensile il risultato ottenuto deve essere diviso per 13 </t>
  </si>
  <si>
    <t>- importo di due ore programmate aggiuntive annue (= indennità di posizione fissa aggiuntiva) = 14.182,08 €</t>
  </si>
  <si>
    <t>(-)</t>
  </si>
  <si>
    <t>(:13)=</t>
  </si>
  <si>
    <t>inkl. 8%</t>
  </si>
  <si>
    <t>nächster scatto 01.09.09</t>
  </si>
  <si>
    <r>
      <t>stipendio base</t>
    </r>
    <r>
      <rPr>
        <i/>
        <sz val="7"/>
        <rFont val="Tahoma"/>
        <family val="2"/>
      </rPr>
      <t>(incl. ind. di billinguismo)</t>
    </r>
  </si>
  <si>
    <t xml:space="preserve">c) </t>
  </si>
  <si>
    <t>importo totale annuo di tutte le ore programmate aggiuntive percepite (109 € x 3 x 4,345 x 12) = 17.049,78 €</t>
  </si>
  <si>
    <t>- indennità di posizione fissa aggiuntiva annua = 7.800,00 €</t>
  </si>
  <si>
    <t>- 50% del valore individuale annuo dell'indennità di esclusività (= 2.253,30 €/2 = 1.126,65 €)</t>
  </si>
  <si>
    <t>- 2/38 del nuovo stipendio di livello annuo comprensivo dei miglioramenti collegati alla progressione professionale e del suo rateo tredicesima mensilità (= 1.559,48 €)</t>
  </si>
  <si>
    <t>Grundgehalt</t>
  </si>
  <si>
    <t>Esempio 1: medico in fascia funzionale A con più di 15 anni di anzianità - già in servizio alla data del 07.04.03</t>
  </si>
  <si>
    <t>Monatsgehalt</t>
  </si>
  <si>
    <t>Jahresgehalt</t>
  </si>
  <si>
    <t>Persönliche Zulage</t>
  </si>
  <si>
    <t>ind. di posizione fissa aggiuntiva</t>
  </si>
  <si>
    <t>- 50% der zugesprochenen jährlichen Exlusivitätszulage im Jahr  (= 12.394,92 €/2 = 6.197,46 €)</t>
  </si>
  <si>
    <t>- Betrag von zwei programmierten Zusatzstunden im Jahr  (= zusätzliche Zulage für fixe Position) = 14.182,08 €</t>
  </si>
  <si>
    <t>importo annuo spettante per la fascia funzionale A (7.200 €:12) = 600,00 €</t>
  </si>
  <si>
    <t>Zulage für hohe Spezialisierung</t>
  </si>
  <si>
    <t>ind. di alta specializzazione</t>
  </si>
  <si>
    <t>Zulage für den Stellvertreter des Direktors</t>
  </si>
  <si>
    <t>ind. di dirigente sostituto di direttore</t>
  </si>
  <si>
    <t>Esempio 5: medico in fascia funzionale A con specializzazione assunto dopo dell'entrata in vigore del presente contratto</t>
  </si>
  <si>
    <t>Beispiel 2: Arzt im Funktionsbereich A mit Spezialisierung angestellt nach 07.04.03 aber vor Inkraftreten dieses Kollektivvertrages - mit 3 programmierten Zusatzstunden</t>
  </si>
  <si>
    <t>Esempio 2: medico in fascia funzionale A con specializzazione assunto dopo il 07.04.03 ma prima dell'entrata in vigore del presente contratto collettivo - con 3 ore aggiuntive programmate</t>
  </si>
  <si>
    <t>Esempio 3: medico in fascia funzionale A con specializzazione assunto dopo il 07.04.03 ma prima dell'entrata in vigore del presente contratto collettivo - con 0 ore aggiuntive programmate</t>
  </si>
  <si>
    <t>indennità integrativa speciale</t>
  </si>
  <si>
    <t>ind. specificità medica e veterinaria</t>
  </si>
  <si>
    <t>retribuzione di risultato</t>
  </si>
  <si>
    <t>classi/scatti (progressione professionale)</t>
  </si>
  <si>
    <t>Klassen/Vorrückungen (berufliche Entwicklung)</t>
  </si>
  <si>
    <t>ind. di sostituto di struttura complessa</t>
  </si>
  <si>
    <t>ind. individuale</t>
  </si>
  <si>
    <t>importo totale annuo di tutte le ore programmate aggiuntive percepite (109 € x 0 x 4,345 x 12) = 0 €</t>
  </si>
  <si>
    <t>Se il risultato è minore/uguale a zero non spetta nessun assegno individuale</t>
  </si>
  <si>
    <t>stipendio spettante dopo l'entrata in vigore del C.C.</t>
  </si>
  <si>
    <t>stipendio spettante prima l'entrata in vigore del C.C.</t>
  </si>
  <si>
    <t>assegno individuale non riassorbibile</t>
  </si>
  <si>
    <t>assegno individuale riassorbibile</t>
  </si>
  <si>
    <t>importo annuo spettante in base all'esperienza professionale (2.253,30 €:13) = 173,33 €</t>
  </si>
  <si>
    <t>importo annuo spettante in base all'esperienza professionale (12.394,97 €:13) = 953,46 €</t>
  </si>
  <si>
    <t>a) art.16.3</t>
  </si>
  <si>
    <t>Acconto legge 438/92/ind. forfettaria</t>
  </si>
  <si>
    <t>TOTALE da garantire</t>
  </si>
  <si>
    <t>TOTALE da garantire +258 €</t>
  </si>
  <si>
    <t>b) art. 18</t>
  </si>
  <si>
    <t>b) Art. 18</t>
  </si>
  <si>
    <t>c) art. 17.1 e 17.2</t>
  </si>
  <si>
    <t>a) Art.16.3</t>
  </si>
  <si>
    <t>c) Art. 17.1 und 17.2</t>
  </si>
  <si>
    <t>a) art.16.6</t>
  </si>
  <si>
    <t>c) art. 17.3 e 17.4</t>
  </si>
  <si>
    <t>a) Art.16.6</t>
  </si>
  <si>
    <t>c) Art. 17.3 und 17.4</t>
  </si>
  <si>
    <t>a) art.16.3 e 16.4</t>
  </si>
  <si>
    <t>a) Art.16.3 und 16.4</t>
  </si>
  <si>
    <t>c) art. 21.4</t>
  </si>
  <si>
    <t>stipendio con data 01.09.02</t>
  </si>
  <si>
    <t>ind. specialisitica</t>
  </si>
  <si>
    <t>ind. tempo pieno</t>
  </si>
  <si>
    <t xml:space="preserve">ind. di posizione fissa </t>
  </si>
  <si>
    <t>stipendio con data 31.08.02</t>
  </si>
  <si>
    <t>stipendio senza struttura semplice</t>
  </si>
  <si>
    <t>stipendio con struttura semplice</t>
  </si>
  <si>
    <r>
      <t>stipendio base</t>
    </r>
    <r>
      <rPr>
        <sz val="7"/>
        <rFont val="Tahoma"/>
        <family val="2"/>
      </rPr>
      <t xml:space="preserve"> </t>
    </r>
    <r>
      <rPr>
        <sz val="8"/>
        <rFont val="Tahoma"/>
        <family val="2"/>
      </rPr>
      <t>(incl. ind. di billinguismo)</t>
    </r>
  </si>
  <si>
    <t>bis 30.06.05</t>
  </si>
  <si>
    <t>bis 30.06.06</t>
  </si>
  <si>
    <t>bis 30.06.07</t>
  </si>
  <si>
    <t>bis 30.06.08</t>
  </si>
  <si>
    <t>ab 01.07.08</t>
  </si>
  <si>
    <t>Kontrolle</t>
  </si>
  <si>
    <t>mit Koeff. 0,7</t>
  </si>
  <si>
    <t>bis 30.06.04</t>
  </si>
  <si>
    <t>bis 30.06.03</t>
  </si>
  <si>
    <t>bis 31.01.03</t>
  </si>
  <si>
    <t>ridotto dell'effettivo aumento stipendiale ottenuto con l'assegnazione della medesima, calcolato alla data del 01.09.2002 (= 695,11 €)</t>
  </si>
  <si>
    <t>meno l'importo capitalizzato per quattro anni (1.040,43 x 20%) = 208,09 €</t>
  </si>
  <si>
    <t>01.01.05 - 30.06.05</t>
  </si>
  <si>
    <t>01.07.05 - 31.12.05</t>
  </si>
  <si>
    <t>01.01.06 - 30.06.06</t>
  </si>
  <si>
    <t>01.07.06 - 31.12.06</t>
  </si>
  <si>
    <t>01.01.07 - 30.06.07</t>
  </si>
  <si>
    <t>01.07.07 - 31.12.07</t>
  </si>
  <si>
    <t>01.01.08 - 30.06.08</t>
  </si>
  <si>
    <t>01.07.08 - 31.12.08</t>
  </si>
  <si>
    <t>Esempio 6: medico in fascia funzionale A con più di 15 anni di anzianità con indennità di funzione di struttura semplice (dal 01.07.04) - già in servizio alla data del 07.04.03 - revoca/mancato rinnovo dell'indennità di struttura semplice dal 01.01.2009</t>
  </si>
  <si>
    <t>- 2/38 del nuovo stipendio di livello annuo comprensivo dei miglioramenti collegati alla progressione professionale e del suo rateo tredicesima mensilità (= 2.005,80 €)</t>
  </si>
  <si>
    <t>plusorario (5 ore)</t>
  </si>
  <si>
    <t>- 50% del valore individuale annuo dell'indennità di esclusività (= 12.394,97 €/2 = 6.197,49 €)</t>
  </si>
  <si>
    <t>importo annuo spettante in base all'esperienza professionale (9.094,81 €:13) = 699,60 €</t>
  </si>
  <si>
    <t>- 2/38 del nuovo stipendio di livello annuo comprensivo dei miglioramenti collegati alla progressione professionale e del suo rateo tredicesima mensilità (= 2.306,59 €)</t>
  </si>
  <si>
    <r>
      <t>Grundgehalt</t>
    </r>
    <r>
      <rPr>
        <sz val="7"/>
        <rFont val="Tahoma"/>
        <family val="2"/>
      </rPr>
      <t xml:space="preserve"> </t>
    </r>
    <r>
      <rPr>
        <sz val="8"/>
        <rFont val="Tahoma"/>
        <family val="2"/>
      </rPr>
      <t>(inkl. Zweisprachigkeitszulage)</t>
    </r>
  </si>
  <si>
    <t>Sonderergängzungszulage</t>
  </si>
  <si>
    <t xml:space="preserve">Ärztliche Spezialisierungszulage </t>
  </si>
  <si>
    <t>Ärztliche Leitungszulage</t>
  </si>
  <si>
    <t>Vollzeitzulage</t>
  </si>
  <si>
    <t>Mehrstunden (5 Stunden)</t>
  </si>
  <si>
    <t>Summe zu garantieren</t>
  </si>
  <si>
    <t>Summe zu garantieren + 258 €</t>
  </si>
  <si>
    <t>Gehalt mit Datum 31.08.02</t>
  </si>
  <si>
    <t>Gehalt mit Datum 01.09.02</t>
  </si>
  <si>
    <t>Gehalt ohne einfacher Struktur</t>
  </si>
  <si>
    <t>Gehalt mit einfacher Struktur</t>
  </si>
  <si>
    <t>Zulage für fixe Position</t>
  </si>
  <si>
    <t>Positionsentlohung</t>
  </si>
  <si>
    <t>Individuelle Zulage</t>
  </si>
  <si>
    <t>Summe</t>
  </si>
  <si>
    <t>mensilità</t>
  </si>
  <si>
    <t>stipendio spettante prima dell'entrata in vigore del C.C.</t>
  </si>
  <si>
    <t>stipendio spettante dopo dell'entrata in vigore del C.C.</t>
  </si>
  <si>
    <t>due ore programmate aggiuntive del valore individuale diminuito del 50% ((136 € x 2 x 4,345 x 12):13) x 50% = 545,46 €</t>
  </si>
  <si>
    <t>Esempio 5 a: medico in fascia funzionale A con specializzazione assunto dopo l'entrata in vigore del presente contratto collettivo</t>
  </si>
  <si>
    <t>stipendio spettante dopo l'entrata in vigore del C.C. e con nuovo conferimento di inc. di struttura semplice</t>
  </si>
  <si>
    <t>Art. 21.6</t>
  </si>
  <si>
    <t>c) art. 17.1/17.2</t>
  </si>
  <si>
    <t>art. 21.6</t>
  </si>
  <si>
    <t>Se l'importo di cui all'art. 17.1 fosse maggiore della nuova indennità conferita, la differenza viene mantenuta</t>
  </si>
  <si>
    <t xml:space="preserve">stipendio per esempio al 31.07.04 </t>
  </si>
  <si>
    <t>ora straordinaria obbligatoria (Art. 54.4)</t>
  </si>
  <si>
    <t>importo totale annuo di tutte le ore programmate aggiuntive percepite (136 € x 4 x 4,345 x 12) = 28.364,16</t>
  </si>
  <si>
    <t>ora straodinaria. obbligatoria (Art. 54.4)</t>
  </si>
  <si>
    <t xml:space="preserve">  nel caso di revoca del conferimento di incarico di sostituto si applicano le disposizioni di cui all'art. 21.4</t>
  </si>
  <si>
    <t>im Monat</t>
  </si>
  <si>
    <t>c) Art. 21.4</t>
  </si>
  <si>
    <t>c) Art. 17.1 u. 17.2</t>
  </si>
  <si>
    <t>c) Art. 17.1/17.2</t>
  </si>
  <si>
    <t>zustehendes Gehalt vor Inkrafttreten des K.V.</t>
  </si>
  <si>
    <t>zustehendes Gehalt nach Inkrafttreten des K.V.</t>
  </si>
  <si>
    <t>Gehalt am 01.07.04</t>
  </si>
  <si>
    <t>zustehendes Gehalt nach Inkrafttreten des K.V. und mit Wiederanerkennung der einfachen Struktur</t>
  </si>
  <si>
    <t>Jahresbetrag der gesamten zugesprochenen programmierten Zusatzstunden (136 € x 4 x 4,345 x 12) = 28.364,16 €</t>
  </si>
  <si>
    <t>- 50% der zugesprochenen jährlichen individuellen Exlusivitätszulage im Jahr  (= 12.394,92 €/2 = 6.197,46 €)</t>
  </si>
  <si>
    <t>Sollte Ergebnis geringer/gleich null sein so steht keine persönliche Zulage zu</t>
  </si>
  <si>
    <t>Jahresbetrag der gesamten zugesprochenen programmierten Zusatzstunden (109 € x 3 x 4,345 x 12) = 17.049,78 €</t>
  </si>
  <si>
    <t>- 50% der zugesprochenen jährlichen individuellen Exlusivitätszulage im Jahr  (= 2.253,30 €/2 = 1.126,65 €)</t>
  </si>
  <si>
    <t>Jahresbetrag der gesamten zugesprochenen programmierten Zusatzstunden (109 € x 0 x 4,345 x 12) = 0 €</t>
  </si>
  <si>
    <t>zustehender Jahresbetrag für Funktionsbereich A (7.200 €:12) = 600,00 €</t>
  </si>
  <si>
    <t>abzüglich des kapitialisierten Betrages für vier Jahre (1.040,43 x 20%) = 208,09 €</t>
  </si>
  <si>
    <t>im Falle des Widerrufs des Auftrages des Stellvertreters werden die Bestimmungen gemäß Art. 21.4 angewandt</t>
  </si>
  <si>
    <t>zustehender Jahresbetrag laut Berufserfahrung (12.394,97 €:13) = 953,46 €</t>
  </si>
  <si>
    <t>zustehender Jahresbetrag laut Berufserfahrung (2.253,30 €:13) = 173,33 €</t>
  </si>
  <si>
    <t>zustehender Jahresbetrag laut Berufserfahrung (9.094,81 €:13) = 699,60 €</t>
  </si>
  <si>
    <t>Beispiel 3: Arzt im Funktionsbereich A mit Spezialisierung angestellt nach 07.04.03 aber vor Inkraftreten des vorliegenden Kollektivvertrages - mit 0 programmierten Zusatzstunden</t>
  </si>
  <si>
    <t>Beispiel 5 a: Arzt im Funktionsbereich A mit Spezialisierung angestellt nach Inkraftreten des vorliegenden Kollektivvertrages</t>
  </si>
  <si>
    <t>Sollte der Betrag gemäß Art. 17.1 größer als die neue zugesprochene Zulage sein, bleibt die Differenz erhalten</t>
  </si>
  <si>
    <t>- Jahresbetrag der zusätzlichen Zulage für fixe Position = 7.800,00 €</t>
  </si>
  <si>
    <t>ind. dirigenza medica</t>
  </si>
  <si>
    <t>Beispiel 1: Arzt im Funktionsbereich A mit mehr als 15 Dienstjahren - bereits im Dienst am 07.04.03</t>
  </si>
  <si>
    <t>zur Berechnung des Monatsbetrags muss das erzielte Ergebnis durch 13 dividiert werden</t>
  </si>
  <si>
    <t>- 2/38 des neuen Grundgehaltes gemäß Besoldungsstufe mit den Aufbesserungen aufgrund beruflicher Entwicklung im Jahr inklusive des 13. Anteils  (= 2.306,59 €)</t>
  </si>
  <si>
    <t>- 2/38 des neuen Grundgehaltes gemäß Besoldungsstufe mit den Aufbesserungen aufgrund beruflicher Entwicklung im Jahr inklusive des 13. Anteils  (= 1.559,48 €)</t>
  </si>
  <si>
    <t>zwei programmierte Zusatzstunden mit individuellem Wert von (136 € x 2 x 4,345 x 12):13 = 1.090,93 €</t>
  </si>
  <si>
    <t>zwei programmierte Zusatzstunden mit individuellem Wert reduziert um 50% ((136 € x 2 x 4,345 x 12):13) x 50% = 545,46 €</t>
  </si>
  <si>
    <t>zwei programmierte Zusatzstunden mit individuellem Wert  (136 € x 2 x 4,345 x 12):13 = 1.090,93 €</t>
  </si>
  <si>
    <t>zwei programmierte Zusatzstunden mit individuellem Wert (136 € x 2 x 4,345 x 12):13 = 1.090,93 €</t>
  </si>
  <si>
    <t>Beispiel 4: Arzt im Funktionsbereich A mit mehr als 15 Dienstjahren - bereits im Dienst am 07.04.03 - bei Inkraftreten des vorliegenden Kollektivvertrages part-time 50%</t>
  </si>
  <si>
    <t>Beispiel 6: Arzt im Funktionsbereich A mit mehr als 15 Dienstjahren und Funktionszulage einfacher Struktur - bereits im Dienst am 07.04.03 - ab 01.01.09 Widerruf/Nichverlängerung der Verantwortung für die einfache Struktur</t>
  </si>
  <si>
    <t>zugesprochene Zulage mit Wert am 01.09.2002 (= 1.040,43 €)</t>
  </si>
  <si>
    <t>abzüglich der effektiv erhaltenen Gehaltserhöhung durch dieselbe Zulage zum 01.09.2002 (=695,11 €)</t>
  </si>
  <si>
    <r>
      <t>Beispiel 5 b: Arzt im Funktionsbereich A mit Spezialisierung angestellt nach Inkraftreten des vorliegenden Kollektivvertrages</t>
    </r>
    <r>
      <rPr>
        <b/>
        <sz val="12"/>
        <rFont val="Arial Black"/>
        <family val="2"/>
      </rPr>
      <t xml:space="preserve"> - es werden ihm für die dokumentierte und anerkannte Berufserfahrung gemäß Art. 60 des Kollektivvertrages vom 13.03.03 durch die technische Kommission 3 Klassen zuerkannt; Dienstalter als Facharzt in derselben Disziplin der Einstufung für die Zuteilung der Exklusivitätszulage: 10 Jahre; Ausbildungszeit (50%) zum Facharzt in keinem abhängigen Arbeitsverhältnis: 2</t>
    </r>
  </si>
  <si>
    <t>indennità percepita al valore stesso al 01.09.2002 (= 1.040,43 €)</t>
  </si>
  <si>
    <t>Esempio 4: medico in fascia funzionale A con più di 15 anni di anzianità - già in servizio alla data del 07.04.03 - all'entrata in vigore del presente contratto collettivo part-time 50%</t>
  </si>
  <si>
    <t>- 2/38 des neuen Grundgehaltes gemäß Besoldungsstufe mit den Aufbesserungen aufgrund beruflicher Entwicklung im Jahr inklusive des 13. Anteils  (= 2.005,80 €)</t>
  </si>
  <si>
    <r>
      <t>Esempio 5 b: medico in fascia funzionale A con specializzazione assunto dopo l'entrata in vigore del presente contratto collettivo</t>
    </r>
    <r>
      <rPr>
        <b/>
        <sz val="12"/>
        <rFont val="Arial Black"/>
        <family val="2"/>
      </rPr>
      <t xml:space="preserve"> - gli vengono riconosciuti 3 classi per esperienza professionale dalla comissione tecnica di cui all'art. 60 del C.C. del 13.03.03; anzianità di servizio come medico specialista nella medesima disciplina di inquadramento per l'indennità di esclusività: 10 anni; anzianità convenzionale (50%) di formazione specialistica non conseguita in costanza di rapporto di lavoro subordinato: 2</t>
    </r>
  </si>
  <si>
    <t>Esempio 7: medico in fascia funzionale A con più di 15 anni di anzianità - già in servizio alla data del 07.04.03 - rinuncia ad una struttura semplice nel periodo 01.01.05 fino al 31.12.08 e ne riottenga una dopo l'entrata in vigore del presente C.C.</t>
  </si>
  <si>
    <t>Beispiel 7: Arzt im Funktionsbereich A mit mehr als 15 Dienstjahren - bereits im Dienst am 07.04.03 - Verzicht auf eine einfache Struktur während des Zeitraumes 01.01.05 bis 31.12.08 und nach Inkrafttreten des vorliegenden K.V. erhällt er wiederum eine zugesprochen</t>
  </si>
  <si>
    <t>Anlage A</t>
  </si>
  <si>
    <t xml:space="preserve">allegato A </t>
  </si>
  <si>
    <t>Anlage B</t>
  </si>
  <si>
    <t>allegato B</t>
  </si>
  <si>
    <t>Anlage C</t>
  </si>
  <si>
    <t>allegato C</t>
  </si>
  <si>
    <t>allegato C - pag. 1</t>
  </si>
  <si>
    <t>Anlage C - Seite 1</t>
  </si>
  <si>
    <t>Anlage C - Seite 2</t>
  </si>
  <si>
    <t>allegato C - pag. 2</t>
  </si>
  <si>
    <t>Differenza tra i stipendi con data 01.09.02 con struttura semplice e quello senza struttura semplice = (8.654,36 € - 7.959,25 €) = 695,11 €</t>
  </si>
  <si>
    <t>Differenz zwischen Gehälter Stand 01.09.02 mit einfacher Struktur und ohne einfache Struktur = (8.654,36 € - 7.959,25 €) = 695,11 €</t>
  </si>
  <si>
    <t>allegato D</t>
  </si>
  <si>
    <t>Anlage D</t>
  </si>
  <si>
    <r>
      <t xml:space="preserve">Esempio 8: </t>
    </r>
    <r>
      <rPr>
        <b/>
        <sz val="14"/>
        <rFont val="Arial Black"/>
        <family val="2"/>
      </rPr>
      <t>medico in fascia funzionale A con più di 15 anni di anzianità - già in servizio alla data del 07.04.03 - in data 31.07.04 gli è stato conferito un'incarico di sostituto di direttore di str. complessa e dal 01.12.07 fino all'entrata in vigore del presente C.C. ha ricevuto l'incarico di direttore reggente di str. complessa. L'esempio prevede inoltre la revoca della reggenza ed il ritorno alla posizione di sostituto di str. complessa</t>
    </r>
  </si>
  <si>
    <r>
      <t xml:space="preserve">Beispiel 8: </t>
    </r>
    <r>
      <rPr>
        <b/>
        <sz val="14"/>
        <rFont val="Arial Black"/>
        <family val="2"/>
      </rPr>
      <t>Arzt im Funktionsbereich A mit mehr als 15 Dienstjahren - bereits am Dienst am 07.04.03 - mit Datum 31.07.04 wurde diesem Arzt ein Auftrag als Stellvertreter einer komplexen Struktur erteilt und ab 01.12.07 bis zum Inkrafttreten des vorliegenden K.V. hatte er den Auftrag als geschäftsführender Direktor der komplexen Struktur inne. Das Beispiel sieht einen anschließenden Widderuf der Geschäftsführung und die Rückkehr in die Position des Stellvertreters der komplexen Struktur vor.</t>
    </r>
  </si>
</sst>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 &quot;€.&quot;* #,##0.00\ "/>
    <numFmt numFmtId="177" formatCode="\ &quot;L.&quot;* #,##0.00\ "/>
    <numFmt numFmtId="178" formatCode="_-* #,##0.00\ [$€]_-;\-* #,##0.00\ [$€]_-;_-* &quot;-&quot;??\ [$€]_-;_-@_-"/>
    <numFmt numFmtId="179" formatCode="\ &quot;€.&quot;* #,##0.00"/>
    <numFmt numFmtId="180" formatCode="#,##0.00\ &quot;€&quot;"/>
    <numFmt numFmtId="181" formatCode="0.0"/>
    <numFmt numFmtId="182" formatCode="[$-407]dddd\,\ d\.\ mmmm\ yyyy"/>
    <numFmt numFmtId="183" formatCode="dd/mm/yy;@"/>
    <numFmt numFmtId="184" formatCode="0.0%"/>
    <numFmt numFmtId="185" formatCode="d/m/yy;@"/>
    <numFmt numFmtId="186" formatCode="_-* #,##0.000\ _D_M_-;\-* #,##0.000\ _D_M_-;_-* &quot;-&quot;??\ _D_M_-;_-@_-"/>
    <numFmt numFmtId="187" formatCode="0.000"/>
    <numFmt numFmtId="188" formatCode="0.0000"/>
    <numFmt numFmtId="189" formatCode="_-* #,##0.00\ [$€-40A]_-;\-* #,##0.00\ [$€-40A]_-;_-* &quot;-&quot;??\ [$€-40A]_-;_-@_-"/>
    <numFmt numFmtId="190" formatCode="\ &quot;€.&quot;* #,##0.0"/>
    <numFmt numFmtId="191" formatCode="\ &quot;€.&quot;* #,##0"/>
    <numFmt numFmtId="192" formatCode="#,##0.00\ _€"/>
    <numFmt numFmtId="193" formatCode="0.000%"/>
    <numFmt numFmtId="194" formatCode="#,##0.0\ _€"/>
    <numFmt numFmtId="195" formatCode="#,##0\ _€"/>
    <numFmt numFmtId="196" formatCode="_-* #,##0.0\ _D_M_-;\-* #,##0.0\ _D_M_-;_-* &quot;-&quot;??\ _D_M_-;_-@_-"/>
    <numFmt numFmtId="197" formatCode="_-* #,##0\ _D_M_-;\-* #,##0\ _D_M_-;_-* &quot;-&quot;??\ _D_M_-;_-@_-"/>
    <numFmt numFmtId="198" formatCode="0.00000"/>
    <numFmt numFmtId="199" formatCode="0.000000"/>
    <numFmt numFmtId="200" formatCode="0.0000000"/>
    <numFmt numFmtId="201" formatCode="0.00000000"/>
    <numFmt numFmtId="202" formatCode="#,##0.0\ &quot;€&quot;"/>
    <numFmt numFmtId="203" formatCode="#,##0\ &quot;€&quot;"/>
    <numFmt numFmtId="204" formatCode="\ &quot;€.&quot;* #,##0.000"/>
    <numFmt numFmtId="205" formatCode="\ &quot;€.&quot;* #,##0.0000"/>
    <numFmt numFmtId="206" formatCode="_-* #,##0.000\ _€_-;\-* #,##0.000\ _€_-;_-* &quot;-&quot;???\ _€_-;_-@_-"/>
    <numFmt numFmtId="207" formatCode="#,##0.0000\ &quot;€&quot;"/>
    <numFmt numFmtId="208" formatCode="[$-410]dddd\ d\ mmmm\ yyyy"/>
    <numFmt numFmtId="209" formatCode="_-* #,##0.000_-;\-* #,##0.000_-;_-* &quot;-&quot;???_-;_-@_-"/>
  </numFmts>
  <fonts count="40">
    <font>
      <sz val="10"/>
      <name val="Arial"/>
      <family val="0"/>
    </font>
    <font>
      <b/>
      <sz val="10"/>
      <name val="Tahoma"/>
      <family val="2"/>
    </font>
    <font>
      <sz val="10"/>
      <name val="Tahoma"/>
      <family val="2"/>
    </font>
    <font>
      <sz val="8"/>
      <name val="Arial"/>
      <family val="0"/>
    </font>
    <font>
      <u val="single"/>
      <sz val="10"/>
      <color indexed="12"/>
      <name val="Arial"/>
      <family val="0"/>
    </font>
    <font>
      <u val="single"/>
      <sz val="10"/>
      <color indexed="36"/>
      <name val="Arial"/>
      <family val="0"/>
    </font>
    <font>
      <b/>
      <sz val="12"/>
      <name val="Tahoma"/>
      <family val="2"/>
    </font>
    <font>
      <b/>
      <sz val="10"/>
      <color indexed="8"/>
      <name val="Tahoma"/>
      <family val="2"/>
    </font>
    <font>
      <b/>
      <i/>
      <sz val="10"/>
      <name val="Tahoma"/>
      <family val="2"/>
    </font>
    <font>
      <b/>
      <sz val="14"/>
      <name val="Tahoma"/>
      <family val="2"/>
    </font>
    <font>
      <b/>
      <sz val="16"/>
      <name val="Tahoma"/>
      <family val="2"/>
    </font>
    <font>
      <sz val="10"/>
      <color indexed="10"/>
      <name val="Tahoma"/>
      <family val="2"/>
    </font>
    <font>
      <sz val="8"/>
      <name val="Tahoma"/>
      <family val="2"/>
    </font>
    <font>
      <b/>
      <sz val="12"/>
      <name val="Wingdings"/>
      <family val="0"/>
    </font>
    <font>
      <b/>
      <i/>
      <sz val="12"/>
      <color indexed="10"/>
      <name val="Tahoma"/>
      <family val="2"/>
    </font>
    <font>
      <sz val="7"/>
      <name val="Tahoma"/>
      <family val="2"/>
    </font>
    <font>
      <b/>
      <sz val="14"/>
      <name val="Arial"/>
      <family val="2"/>
    </font>
    <font>
      <sz val="8"/>
      <color indexed="10"/>
      <name val="Tahoma"/>
      <family val="2"/>
    </font>
    <font>
      <sz val="8"/>
      <color indexed="17"/>
      <name val="Tahoma"/>
      <family val="2"/>
    </font>
    <font>
      <b/>
      <sz val="8"/>
      <color indexed="17"/>
      <name val="Tahoma"/>
      <family val="2"/>
    </font>
    <font>
      <i/>
      <sz val="8"/>
      <color indexed="17"/>
      <name val="Tahoma"/>
      <family val="2"/>
    </font>
    <font>
      <sz val="14"/>
      <name val="Tahoma"/>
      <family val="2"/>
    </font>
    <font>
      <b/>
      <i/>
      <sz val="8"/>
      <color indexed="17"/>
      <name val="Tahoma"/>
      <family val="2"/>
    </font>
    <font>
      <b/>
      <sz val="16"/>
      <name val="Arial Black"/>
      <family val="2"/>
    </font>
    <font>
      <i/>
      <sz val="8"/>
      <name val="Tahoma"/>
      <family val="2"/>
    </font>
    <font>
      <i/>
      <sz val="7"/>
      <name val="Tahoma"/>
      <family val="2"/>
    </font>
    <font>
      <b/>
      <i/>
      <sz val="8"/>
      <color indexed="8"/>
      <name val="Tahoma"/>
      <family val="2"/>
    </font>
    <font>
      <b/>
      <sz val="12"/>
      <name val="Arial Black"/>
      <family val="2"/>
    </font>
    <font>
      <b/>
      <u val="singleAccounting"/>
      <sz val="16"/>
      <name val="Tahoma"/>
      <family val="2"/>
    </font>
    <font>
      <b/>
      <sz val="8"/>
      <name val="Tahoma"/>
      <family val="0"/>
    </font>
    <font>
      <i/>
      <sz val="6"/>
      <color indexed="17"/>
      <name val="Tahoma"/>
      <family val="2"/>
    </font>
    <font>
      <i/>
      <sz val="7"/>
      <color indexed="17"/>
      <name val="Tahoma"/>
      <family val="2"/>
    </font>
    <font>
      <sz val="10"/>
      <color indexed="8"/>
      <name val="Tahoma"/>
      <family val="2"/>
    </font>
    <font>
      <b/>
      <sz val="14"/>
      <name val="Arial Black"/>
      <family val="2"/>
    </font>
    <font>
      <sz val="12"/>
      <name val="Tahoma"/>
      <family val="2"/>
    </font>
    <font>
      <sz val="12"/>
      <name val="Arial"/>
      <family val="0"/>
    </font>
    <font>
      <i/>
      <sz val="10"/>
      <name val="Tahoma"/>
      <family val="2"/>
    </font>
    <font>
      <sz val="20"/>
      <name val="Arial"/>
      <family val="2"/>
    </font>
    <font>
      <sz val="22"/>
      <name val="Arial"/>
      <family val="2"/>
    </font>
    <font>
      <b/>
      <sz val="8"/>
      <name val="Arial"/>
      <family val="2"/>
    </font>
  </fonts>
  <fills count="6">
    <fill>
      <patternFill/>
    </fill>
    <fill>
      <patternFill patternType="gray125"/>
    </fill>
    <fill>
      <patternFill patternType="solid">
        <fgColor indexed="15"/>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s>
  <borders count="2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color indexed="63"/>
      </bottom>
    </border>
    <border diagonalUp="1">
      <left style="thin"/>
      <right style="thin"/>
      <top style="thin"/>
      <bottom style="thin"/>
      <diagonal style="thin"/>
    </border>
    <border>
      <left style="medium"/>
      <right style="medium"/>
      <top style="medium"/>
      <bottom>
        <color indexed="63"/>
      </bottom>
    </border>
    <border>
      <left style="thin"/>
      <right style="thin"/>
      <top style="medium"/>
      <bottom style="thin"/>
    </border>
    <border>
      <left style="thin"/>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thin"/>
      <top style="medium"/>
      <bottom style="thin"/>
    </border>
    <border>
      <left>
        <color indexed="63"/>
      </left>
      <right style="thin"/>
      <top>
        <color indexed="63"/>
      </top>
      <bottom style="thin"/>
    </border>
    <border diagonalUp="1">
      <left>
        <color indexed="63"/>
      </left>
      <right style="thin"/>
      <top style="thin"/>
      <bottom style="thin"/>
      <diagonal style="thin"/>
    </border>
    <border>
      <left>
        <color indexed="63"/>
      </left>
      <right>
        <color indexed="63"/>
      </right>
      <top>
        <color indexed="63"/>
      </top>
      <bottom style="thin"/>
    </border>
    <border diagonalUp="1">
      <left style="thin"/>
      <right>
        <color indexed="63"/>
      </right>
      <top style="thin"/>
      <bottom style="thin"/>
      <diagonal style="thin"/>
    </border>
    <border>
      <left style="medium"/>
      <right>
        <color indexed="63"/>
      </right>
      <top style="medium"/>
      <bottom style="mediu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cellStyleXfs>
  <cellXfs count="247">
    <xf numFmtId="0" fontId="0" fillId="0" borderId="0" xfId="0" applyAlignment="1">
      <alignment/>
    </xf>
    <xf numFmtId="179" fontId="2" fillId="0" borderId="0" xfId="0" applyNumberFormat="1" applyFont="1" applyFill="1" applyAlignment="1">
      <alignment vertical="center"/>
    </xf>
    <xf numFmtId="179" fontId="2" fillId="0" borderId="0" xfId="0" applyNumberFormat="1" applyFont="1" applyFill="1" applyBorder="1" applyAlignment="1">
      <alignment vertical="center"/>
    </xf>
    <xf numFmtId="179" fontId="1" fillId="0" borderId="0" xfId="18" applyNumberFormat="1" applyFont="1" applyFill="1" applyBorder="1" applyAlignment="1">
      <alignment horizontal="center" vertical="center"/>
    </xf>
    <xf numFmtId="179" fontId="2" fillId="0" borderId="1" xfId="18" applyNumberFormat="1" applyFont="1" applyFill="1" applyBorder="1" applyAlignment="1">
      <alignment horizontal="center" vertical="center"/>
    </xf>
    <xf numFmtId="179" fontId="2" fillId="0" borderId="1" xfId="18" applyNumberFormat="1" applyFont="1" applyFill="1" applyBorder="1" applyAlignment="1">
      <alignment horizontal="right" vertical="center"/>
    </xf>
    <xf numFmtId="179" fontId="2" fillId="0" borderId="0" xfId="18" applyNumberFormat="1" applyFont="1" applyFill="1" applyBorder="1" applyAlignment="1">
      <alignment horizontal="center" vertical="center"/>
    </xf>
    <xf numFmtId="9" fontId="2" fillId="0" borderId="2" xfId="0" applyNumberFormat="1" applyFont="1" applyFill="1" applyBorder="1" applyAlignment="1">
      <alignment horizontal="center" vertical="center"/>
    </xf>
    <xf numFmtId="179" fontId="2" fillId="0" borderId="1" xfId="18" applyNumberFormat="1" applyFont="1" applyFill="1" applyBorder="1" applyAlignment="1">
      <alignment vertical="center"/>
    </xf>
    <xf numFmtId="2" fontId="2" fillId="0" borderId="1" xfId="18" applyNumberFormat="1" applyFont="1" applyFill="1" applyBorder="1" applyAlignment="1">
      <alignment horizontal="center" vertical="center"/>
    </xf>
    <xf numFmtId="179" fontId="1" fillId="0" borderId="0" xfId="18" applyNumberFormat="1" applyFont="1" applyFill="1" applyBorder="1" applyAlignment="1">
      <alignment vertical="center"/>
    </xf>
    <xf numFmtId="2" fontId="2" fillId="0" borderId="2" xfId="0" applyNumberFormat="1" applyFont="1" applyFill="1" applyBorder="1" applyAlignment="1">
      <alignment horizontal="center" vertical="center"/>
    </xf>
    <xf numFmtId="179" fontId="2" fillId="0" borderId="1" xfId="0" applyNumberFormat="1" applyFont="1" applyFill="1" applyBorder="1" applyAlignment="1">
      <alignment vertical="center"/>
    </xf>
    <xf numFmtId="179" fontId="2" fillId="0" borderId="0" xfId="18" applyNumberFormat="1" applyFont="1" applyFill="1" applyBorder="1" applyAlignment="1">
      <alignment horizontal="left" vertical="center"/>
    </xf>
    <xf numFmtId="179" fontId="1" fillId="0" borderId="0" xfId="0" applyNumberFormat="1" applyFont="1" applyFill="1" applyBorder="1" applyAlignment="1">
      <alignment horizontal="left" vertical="center" wrapText="1"/>
    </xf>
    <xf numFmtId="179" fontId="1" fillId="0" borderId="0" xfId="0" applyNumberFormat="1" applyFont="1" applyFill="1" applyBorder="1" applyAlignment="1">
      <alignment vertical="center"/>
    </xf>
    <xf numFmtId="179" fontId="2" fillId="0" borderId="0" xfId="0" applyNumberFormat="1" applyFont="1" applyFill="1" applyBorder="1" applyAlignment="1">
      <alignment horizontal="left" vertical="center"/>
    </xf>
    <xf numFmtId="179" fontId="2" fillId="0" borderId="3" xfId="0" applyNumberFormat="1" applyFont="1" applyFill="1" applyBorder="1" applyAlignment="1">
      <alignment horizontal="left" vertical="center"/>
    </xf>
    <xf numFmtId="179" fontId="1" fillId="0" borderId="0" xfId="0" applyNumberFormat="1" applyFont="1" applyFill="1" applyBorder="1" applyAlignment="1">
      <alignment horizontal="left" vertical="center"/>
    </xf>
    <xf numFmtId="1" fontId="8" fillId="0" borderId="0" xfId="0" applyNumberFormat="1" applyFont="1" applyFill="1" applyAlignment="1">
      <alignment horizontal="left" vertical="center"/>
    </xf>
    <xf numFmtId="179" fontId="2" fillId="0" borderId="0" xfId="18" applyNumberFormat="1" applyFont="1" applyFill="1" applyBorder="1" applyAlignment="1" quotePrefix="1">
      <alignment vertical="center"/>
    </xf>
    <xf numFmtId="1" fontId="8" fillId="0" borderId="0" xfId="0" applyNumberFormat="1" applyFont="1" applyFill="1" applyAlignment="1">
      <alignment horizontal="right" vertical="center"/>
    </xf>
    <xf numFmtId="1" fontId="8" fillId="0" borderId="0" xfId="0" applyNumberFormat="1" applyFont="1" applyFill="1" applyBorder="1" applyAlignment="1">
      <alignment horizontal="left" vertical="center"/>
    </xf>
    <xf numFmtId="179" fontId="11" fillId="0" borderId="0" xfId="18" applyNumberFormat="1" applyFont="1" applyFill="1" applyBorder="1" applyAlignment="1">
      <alignment vertical="center"/>
    </xf>
    <xf numFmtId="179" fontId="11" fillId="0" borderId="4" xfId="18" applyNumberFormat="1" applyFont="1" applyFill="1" applyBorder="1" applyAlignment="1">
      <alignment vertical="center"/>
    </xf>
    <xf numFmtId="179" fontId="1" fillId="2" borderId="1" xfId="18" applyNumberFormat="1" applyFont="1" applyFill="1" applyBorder="1" applyAlignment="1">
      <alignment vertical="center"/>
    </xf>
    <xf numFmtId="179" fontId="1" fillId="2" borderId="1" xfId="0" applyNumberFormat="1" applyFont="1" applyFill="1" applyBorder="1" applyAlignment="1">
      <alignment vertical="center"/>
    </xf>
    <xf numFmtId="179" fontId="9" fillId="0" borderId="5" xfId="0" applyNumberFormat="1" applyFont="1" applyFill="1" applyBorder="1" applyAlignment="1">
      <alignment horizontal="center" vertical="center" wrapText="1"/>
    </xf>
    <xf numFmtId="179" fontId="6" fillId="3" borderId="5" xfId="0" applyNumberFormat="1" applyFont="1" applyFill="1" applyBorder="1" applyAlignment="1">
      <alignment horizontal="center" vertical="center"/>
    </xf>
    <xf numFmtId="1" fontId="2" fillId="0" borderId="6" xfId="0" applyNumberFormat="1" applyFont="1" applyFill="1" applyBorder="1" applyAlignment="1">
      <alignment vertical="center"/>
    </xf>
    <xf numFmtId="1" fontId="2" fillId="0" borderId="0" xfId="0" applyNumberFormat="1" applyFont="1" applyFill="1" applyBorder="1" applyAlignment="1">
      <alignment vertical="center"/>
    </xf>
    <xf numFmtId="179" fontId="2" fillId="0" borderId="7" xfId="0" applyNumberFormat="1" applyFont="1" applyFill="1" applyBorder="1" applyAlignment="1">
      <alignment vertical="center"/>
    </xf>
    <xf numFmtId="179" fontId="9" fillId="0" borderId="4" xfId="0" applyNumberFormat="1" applyFont="1" applyFill="1" applyBorder="1" applyAlignment="1">
      <alignment horizontal="center" vertical="center" wrapText="1"/>
    </xf>
    <xf numFmtId="179" fontId="2" fillId="0" borderId="4" xfId="0" applyNumberFormat="1" applyFont="1" applyFill="1" applyBorder="1" applyAlignment="1">
      <alignment horizontal="center" vertical="center"/>
    </xf>
    <xf numFmtId="179" fontId="6" fillId="0" borderId="4" xfId="0" applyNumberFormat="1" applyFont="1" applyFill="1" applyBorder="1" applyAlignment="1">
      <alignment horizontal="center" vertical="center"/>
    </xf>
    <xf numFmtId="179" fontId="2" fillId="0" borderId="4" xfId="18" applyNumberFormat="1" applyFont="1" applyFill="1" applyBorder="1" applyAlignment="1" quotePrefix="1">
      <alignment vertical="center"/>
    </xf>
    <xf numFmtId="179" fontId="1" fillId="0" borderId="4" xfId="18" applyNumberFormat="1" applyFont="1" applyFill="1" applyBorder="1" applyAlignment="1">
      <alignment vertical="center"/>
    </xf>
    <xf numFmtId="179" fontId="1" fillId="4" borderId="1" xfId="0" applyNumberFormat="1" applyFont="1" applyFill="1" applyBorder="1" applyAlignment="1">
      <alignment vertical="center"/>
    </xf>
    <xf numFmtId="179" fontId="6" fillId="3" borderId="8" xfId="0" applyNumberFormat="1" applyFont="1" applyFill="1" applyBorder="1" applyAlignment="1">
      <alignment horizontal="center" vertical="center"/>
    </xf>
    <xf numFmtId="179" fontId="2" fillId="0" borderId="1" xfId="18" applyNumberFormat="1" applyFont="1" applyFill="1" applyBorder="1" applyAlignment="1" quotePrefix="1">
      <alignment vertical="center"/>
    </xf>
    <xf numFmtId="179" fontId="2" fillId="0" borderId="9" xfId="18" applyNumberFormat="1" applyFont="1" applyFill="1" applyBorder="1" applyAlignment="1">
      <alignment vertical="center"/>
    </xf>
    <xf numFmtId="179" fontId="1" fillId="0" borderId="0" xfId="0" applyNumberFormat="1" applyFont="1" applyFill="1" applyAlignment="1">
      <alignment vertical="center"/>
    </xf>
    <xf numFmtId="179" fontId="1" fillId="0" borderId="0" xfId="0" applyNumberFormat="1" applyFont="1" applyFill="1" applyBorder="1" applyAlignment="1">
      <alignment horizontal="center" vertical="center" wrapText="1"/>
    </xf>
    <xf numFmtId="179" fontId="2" fillId="0" borderId="10" xfId="18" applyNumberFormat="1" applyFont="1" applyFill="1" applyBorder="1" applyAlignment="1">
      <alignment vertical="center"/>
    </xf>
    <xf numFmtId="179" fontId="17" fillId="0" borderId="6" xfId="18" applyNumberFormat="1" applyFont="1" applyFill="1" applyBorder="1" applyAlignment="1">
      <alignment vertical="center"/>
    </xf>
    <xf numFmtId="179" fontId="12" fillId="0" borderId="0" xfId="18" applyNumberFormat="1" applyFont="1" applyFill="1" applyBorder="1" applyAlignment="1">
      <alignment horizontal="left" vertical="center"/>
    </xf>
    <xf numFmtId="179" fontId="9" fillId="0" borderId="0" xfId="0" applyNumberFormat="1" applyFont="1" applyFill="1" applyBorder="1" applyAlignment="1">
      <alignment horizontal="center" vertical="center" wrapText="1"/>
    </xf>
    <xf numFmtId="179" fontId="19" fillId="0" borderId="0" xfId="18" applyNumberFormat="1" applyFont="1" applyFill="1" applyBorder="1" applyAlignment="1">
      <alignment horizontal="center" vertical="center"/>
    </xf>
    <xf numFmtId="179" fontId="20" fillId="0" borderId="0" xfId="18" applyNumberFormat="1" applyFont="1" applyFill="1" applyBorder="1" applyAlignment="1" quotePrefix="1">
      <alignment vertical="center"/>
    </xf>
    <xf numFmtId="179" fontId="18" fillId="0" borderId="0" xfId="18" applyNumberFormat="1" applyFont="1" applyFill="1" applyBorder="1" applyAlignment="1" quotePrefix="1">
      <alignment vertical="center"/>
    </xf>
    <xf numFmtId="179" fontId="19" fillId="0" borderId="0" xfId="18" applyNumberFormat="1" applyFont="1" applyFill="1" applyBorder="1" applyAlignment="1">
      <alignment horizontal="left" vertical="center"/>
    </xf>
    <xf numFmtId="179" fontId="0" fillId="0" borderId="0" xfId="0" applyNumberFormat="1" applyAlignment="1">
      <alignment vertical="center"/>
    </xf>
    <xf numFmtId="179" fontId="0" fillId="0" borderId="0" xfId="0" applyNumberFormat="1" applyFill="1" applyAlignment="1">
      <alignment vertical="center"/>
    </xf>
    <xf numFmtId="179" fontId="0" fillId="0" borderId="0" xfId="0" applyNumberFormat="1" applyFill="1" applyBorder="1" applyAlignment="1">
      <alignment vertical="center"/>
    </xf>
    <xf numFmtId="179" fontId="7" fillId="0" borderId="0" xfId="0" applyNumberFormat="1" applyFont="1" applyFill="1" applyAlignment="1">
      <alignment vertical="center" wrapText="1"/>
    </xf>
    <xf numFmtId="179" fontId="13" fillId="0" borderId="0" xfId="0" applyNumberFormat="1" applyFont="1" applyFill="1" applyBorder="1" applyAlignment="1">
      <alignment vertical="center" wrapText="1"/>
    </xf>
    <xf numFmtId="179" fontId="2" fillId="0" borderId="0" xfId="0" applyNumberFormat="1" applyFont="1" applyFill="1" applyBorder="1" applyAlignment="1">
      <alignment vertical="center" wrapText="1"/>
    </xf>
    <xf numFmtId="179" fontId="8" fillId="0" borderId="0" xfId="0" applyNumberFormat="1" applyFont="1" applyFill="1" applyBorder="1" applyAlignment="1">
      <alignment horizontal="right" vertical="center"/>
    </xf>
    <xf numFmtId="179" fontId="1" fillId="0" borderId="0" xfId="0" applyNumberFormat="1" applyFont="1" applyFill="1" applyBorder="1" applyAlignment="1">
      <alignment horizontal="center" vertical="center"/>
    </xf>
    <xf numFmtId="179" fontId="8" fillId="0" borderId="0" xfId="0" applyNumberFormat="1" applyFont="1" applyFill="1" applyBorder="1" applyAlignment="1">
      <alignment horizontal="left" vertical="center"/>
    </xf>
    <xf numFmtId="1" fontId="1" fillId="0" borderId="0" xfId="0" applyNumberFormat="1" applyFont="1" applyFill="1" applyAlignment="1">
      <alignment horizontal="left" vertical="center"/>
    </xf>
    <xf numFmtId="179" fontId="12" fillId="0" borderId="0" xfId="0" applyNumberFormat="1" applyFont="1" applyFill="1" applyBorder="1" applyAlignment="1">
      <alignment vertical="center"/>
    </xf>
    <xf numFmtId="179" fontId="2" fillId="0" borderId="0" xfId="0" applyNumberFormat="1" applyFont="1" applyFill="1" applyBorder="1" applyAlignment="1" quotePrefix="1">
      <alignment vertical="center"/>
    </xf>
    <xf numFmtId="179" fontId="2" fillId="0" borderId="4" xfId="0" applyNumberFormat="1" applyFont="1" applyFill="1" applyBorder="1" applyAlignment="1">
      <alignment vertical="center"/>
    </xf>
    <xf numFmtId="1" fontId="1" fillId="0" borderId="0" xfId="0" applyNumberFormat="1" applyFont="1" applyFill="1" applyBorder="1" applyAlignment="1">
      <alignment horizontal="left" vertical="center"/>
    </xf>
    <xf numFmtId="179" fontId="18" fillId="0" borderId="0" xfId="0" applyNumberFormat="1" applyFont="1" applyFill="1" applyBorder="1" applyAlignment="1">
      <alignment vertical="center"/>
    </xf>
    <xf numFmtId="179" fontId="16" fillId="0" borderId="0" xfId="0" applyNumberFormat="1" applyFont="1" applyFill="1" applyAlignment="1">
      <alignment vertical="center"/>
    </xf>
    <xf numFmtId="179" fontId="13" fillId="0" borderId="0" xfId="0" applyNumberFormat="1" applyFont="1" applyFill="1" applyBorder="1" applyAlignment="1">
      <alignment vertical="center"/>
    </xf>
    <xf numFmtId="179" fontId="2" fillId="0" borderId="0" xfId="0" applyNumberFormat="1" applyFont="1" applyFill="1" applyAlignment="1">
      <alignment horizontal="left" vertical="center"/>
    </xf>
    <xf numFmtId="179" fontId="2" fillId="0" borderId="11" xfId="0" applyNumberFormat="1" applyFont="1" applyFill="1" applyBorder="1" applyAlignment="1">
      <alignment vertical="center"/>
    </xf>
    <xf numFmtId="179" fontId="12" fillId="0" borderId="0" xfId="0" applyNumberFormat="1" applyFont="1" applyFill="1" applyBorder="1" applyAlignment="1" quotePrefix="1">
      <alignment vertical="center"/>
    </xf>
    <xf numFmtId="179" fontId="1" fillId="0" borderId="11" xfId="0" applyNumberFormat="1" applyFont="1" applyFill="1" applyBorder="1" applyAlignment="1">
      <alignment horizontal="left" vertical="center"/>
    </xf>
    <xf numFmtId="179" fontId="22" fillId="0" borderId="0" xfId="18" applyNumberFormat="1" applyFont="1" applyFill="1" applyBorder="1" applyAlignment="1" quotePrefix="1">
      <alignment vertical="center"/>
    </xf>
    <xf numFmtId="179" fontId="19" fillId="0" borderId="0" xfId="18" applyNumberFormat="1" applyFont="1" applyFill="1" applyBorder="1" applyAlignment="1">
      <alignment vertical="center"/>
    </xf>
    <xf numFmtId="188" fontId="2" fillId="0" borderId="1" xfId="18" applyNumberFormat="1" applyFont="1" applyFill="1" applyBorder="1" applyAlignment="1">
      <alignment horizontal="center" vertical="center"/>
    </xf>
    <xf numFmtId="179" fontId="9" fillId="0" borderId="12" xfId="0" applyNumberFormat="1" applyFont="1" applyFill="1" applyBorder="1" applyAlignment="1">
      <alignment vertical="center"/>
    </xf>
    <xf numFmtId="179" fontId="9" fillId="0" borderId="5" xfId="0" applyNumberFormat="1" applyFont="1" applyFill="1" applyBorder="1" applyAlignment="1">
      <alignment horizontal="center" vertical="center"/>
    </xf>
    <xf numFmtId="179" fontId="9" fillId="0" borderId="13" xfId="0" applyNumberFormat="1" applyFont="1" applyFill="1" applyBorder="1" applyAlignment="1">
      <alignment vertical="center"/>
    </xf>
    <xf numFmtId="188" fontId="2" fillId="0" borderId="1" xfId="18" applyNumberFormat="1" applyFont="1" applyFill="1" applyBorder="1" applyAlignment="1">
      <alignment vertical="center"/>
    </xf>
    <xf numFmtId="49" fontId="2" fillId="0" borderId="0" xfId="0" applyNumberFormat="1" applyFont="1" applyFill="1" applyBorder="1" applyAlignment="1">
      <alignment horizontal="left" vertical="center" wrapText="1"/>
    </xf>
    <xf numFmtId="179" fontId="2" fillId="0" borderId="1" xfId="0" applyNumberFormat="1" applyFont="1" applyFill="1" applyBorder="1" applyAlignment="1">
      <alignment/>
    </xf>
    <xf numFmtId="179" fontId="2" fillId="0" borderId="1" xfId="18" applyNumberFormat="1" applyFont="1" applyFill="1" applyBorder="1" applyAlignment="1">
      <alignment horizontal="left" vertical="center"/>
    </xf>
    <xf numFmtId="179" fontId="1" fillId="0" borderId="1" xfId="18" applyNumberFormat="1" applyFont="1" applyFill="1" applyBorder="1" applyAlignment="1">
      <alignment horizontal="left" vertical="center"/>
    </xf>
    <xf numFmtId="179" fontId="25" fillId="0" borderId="1" xfId="0" applyNumberFormat="1" applyFont="1" applyFill="1" applyBorder="1" applyAlignment="1">
      <alignment/>
    </xf>
    <xf numFmtId="180" fontId="2" fillId="0" borderId="1" xfId="0" applyNumberFormat="1" applyFont="1" applyFill="1" applyBorder="1" applyAlignment="1">
      <alignment vertical="center"/>
    </xf>
    <xf numFmtId="180" fontId="1" fillId="0" borderId="1" xfId="0" applyNumberFormat="1" applyFont="1" applyFill="1" applyBorder="1" applyAlignment="1">
      <alignment vertical="center"/>
    </xf>
    <xf numFmtId="179" fontId="9" fillId="0" borderId="0" xfId="0" applyNumberFormat="1" applyFont="1" applyFill="1" applyBorder="1" applyAlignment="1">
      <alignment vertical="center" wrapText="1"/>
    </xf>
    <xf numFmtId="180" fontId="15" fillId="0" borderId="1" xfId="0" applyNumberFormat="1" applyFont="1" applyFill="1" applyBorder="1" applyAlignment="1">
      <alignment vertical="center"/>
    </xf>
    <xf numFmtId="179" fontId="2" fillId="0" borderId="0" xfId="0" applyNumberFormat="1" applyFont="1" applyFill="1" applyAlignment="1">
      <alignment horizontal="right" vertical="center"/>
    </xf>
    <xf numFmtId="179" fontId="15"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79" fontId="2" fillId="0" borderId="3" xfId="18" applyNumberFormat="1" applyFont="1" applyFill="1" applyBorder="1" applyAlignment="1">
      <alignment horizontal="center" vertical="center"/>
    </xf>
    <xf numFmtId="179" fontId="2" fillId="0" borderId="2" xfId="18" applyNumberFormat="1" applyFont="1" applyFill="1" applyBorder="1" applyAlignment="1">
      <alignment horizontal="center" vertical="center"/>
    </xf>
    <xf numFmtId="179" fontId="10" fillId="0" borderId="0" xfId="0" applyNumberFormat="1" applyFont="1" applyFill="1" applyAlignment="1">
      <alignment horizontal="center" vertical="center" wrapText="1"/>
    </xf>
    <xf numFmtId="179" fontId="2" fillId="0" borderId="14" xfId="18" applyNumberFormat="1" applyFont="1" applyFill="1" applyBorder="1" applyAlignment="1">
      <alignment vertical="center"/>
    </xf>
    <xf numFmtId="179" fontId="2" fillId="0" borderId="0" xfId="0" applyNumberFormat="1" applyFont="1" applyFill="1" applyAlignment="1" quotePrefix="1">
      <alignment vertical="center"/>
    </xf>
    <xf numFmtId="179" fontId="2" fillId="0" borderId="15" xfId="0" applyNumberFormat="1" applyFont="1" applyFill="1" applyBorder="1" applyAlignment="1">
      <alignment vertical="center"/>
    </xf>
    <xf numFmtId="179" fontId="2" fillId="0" borderId="16" xfId="18" applyNumberFormat="1" applyFont="1" applyFill="1" applyBorder="1" applyAlignment="1">
      <alignment vertical="center"/>
    </xf>
    <xf numFmtId="179" fontId="14" fillId="0" borderId="0" xfId="0" applyNumberFormat="1" applyFont="1" applyFill="1" applyAlignment="1">
      <alignment vertical="center" wrapText="1"/>
    </xf>
    <xf numFmtId="179" fontId="21" fillId="0" borderId="0" xfId="0" applyNumberFormat="1" applyFont="1" applyFill="1" applyBorder="1" applyAlignment="1">
      <alignment vertical="center" wrapText="1"/>
    </xf>
    <xf numFmtId="179" fontId="23" fillId="0" borderId="0" xfId="0" applyNumberFormat="1" applyFont="1" applyFill="1" applyBorder="1" applyAlignment="1">
      <alignment vertical="center"/>
    </xf>
    <xf numFmtId="179" fontId="26" fillId="0" borderId="0" xfId="18" applyNumberFormat="1" applyFont="1" applyFill="1" applyBorder="1" applyAlignment="1" quotePrefix="1">
      <alignment vertical="center"/>
    </xf>
    <xf numFmtId="179" fontId="26" fillId="0" borderId="17" xfId="18" applyNumberFormat="1" applyFont="1" applyFill="1" applyBorder="1" applyAlignment="1" quotePrefix="1">
      <alignment vertical="center"/>
    </xf>
    <xf numFmtId="179" fontId="2" fillId="0" borderId="0" xfId="0" applyNumberFormat="1" applyFont="1" applyFill="1" applyBorder="1" applyAlignment="1">
      <alignment horizontal="right" vertical="center"/>
    </xf>
    <xf numFmtId="179" fontId="0" fillId="0" borderId="0" xfId="0" applyNumberFormat="1" applyBorder="1" applyAlignment="1">
      <alignment vertical="center"/>
    </xf>
    <xf numFmtId="179" fontId="2" fillId="0" borderId="0" xfId="0" applyNumberFormat="1" applyFont="1" applyFill="1" applyAlignment="1">
      <alignment vertical="center" wrapText="1"/>
    </xf>
    <xf numFmtId="179" fontId="9" fillId="0" borderId="0" xfId="0" applyNumberFormat="1" applyFont="1" applyFill="1" applyBorder="1" applyAlignment="1">
      <alignment vertical="center"/>
    </xf>
    <xf numFmtId="179" fontId="26" fillId="0" borderId="4" xfId="18" applyNumberFormat="1" applyFont="1" applyFill="1" applyBorder="1" applyAlignment="1" quotePrefix="1">
      <alignment vertical="center"/>
    </xf>
    <xf numFmtId="179" fontId="1" fillId="0" borderId="15" xfId="0" applyNumberFormat="1" applyFont="1" applyFill="1" applyBorder="1" applyAlignment="1">
      <alignment vertical="center"/>
    </xf>
    <xf numFmtId="179" fontId="23" fillId="0" borderId="0" xfId="0" applyNumberFormat="1" applyFont="1" applyFill="1" applyBorder="1" applyAlignment="1">
      <alignment vertical="top"/>
    </xf>
    <xf numFmtId="180" fontId="2" fillId="0" borderId="16" xfId="0" applyNumberFormat="1" applyFont="1" applyFill="1" applyBorder="1" applyAlignment="1">
      <alignment vertical="center"/>
    </xf>
    <xf numFmtId="179" fontId="2" fillId="0" borderId="3" xfId="0" applyNumberFormat="1" applyFont="1" applyFill="1" applyBorder="1" applyAlignment="1">
      <alignment/>
    </xf>
    <xf numFmtId="180" fontId="2" fillId="0" borderId="14" xfId="0" applyNumberFormat="1" applyFont="1" applyFill="1" applyBorder="1" applyAlignment="1">
      <alignment vertical="center"/>
    </xf>
    <xf numFmtId="179" fontId="1" fillId="0" borderId="0" xfId="0" applyNumberFormat="1" applyFont="1" applyFill="1" applyAlignment="1">
      <alignment/>
    </xf>
    <xf numFmtId="179" fontId="6" fillId="0" borderId="0" xfId="0" applyNumberFormat="1" applyFont="1" applyFill="1" applyBorder="1" applyAlignment="1">
      <alignment horizontal="center" vertical="center" wrapText="1"/>
    </xf>
    <xf numFmtId="179" fontId="1" fillId="2" borderId="3" xfId="0" applyNumberFormat="1" applyFont="1" applyFill="1" applyBorder="1" applyAlignment="1">
      <alignment horizontal="left" vertical="center" wrapText="1"/>
    </xf>
    <xf numFmtId="179" fontId="1" fillId="2" borderId="2" xfId="0" applyNumberFormat="1" applyFont="1" applyFill="1" applyBorder="1" applyAlignment="1">
      <alignment horizontal="left" vertical="center" wrapText="1"/>
    </xf>
    <xf numFmtId="179" fontId="2" fillId="0" borderId="0" xfId="0" applyNumberFormat="1" applyFont="1" applyFill="1" applyAlignment="1">
      <alignment horizontal="center" vertical="center"/>
    </xf>
    <xf numFmtId="180" fontId="2" fillId="0" borderId="0" xfId="0" applyNumberFormat="1" applyFont="1" applyFill="1" applyBorder="1" applyAlignment="1">
      <alignment vertical="center"/>
    </xf>
    <xf numFmtId="180" fontId="15" fillId="0" borderId="0" xfId="0" applyNumberFormat="1" applyFont="1" applyFill="1" applyBorder="1" applyAlignment="1">
      <alignment vertical="center"/>
    </xf>
    <xf numFmtId="180" fontId="1" fillId="0" borderId="0" xfId="0" applyNumberFormat="1" applyFont="1" applyFill="1" applyBorder="1" applyAlignment="1">
      <alignment vertical="center"/>
    </xf>
    <xf numFmtId="179" fontId="2" fillId="0" borderId="2" xfId="0" applyNumberFormat="1" applyFont="1" applyFill="1" applyBorder="1" applyAlignment="1">
      <alignment horizontal="left" vertical="center"/>
    </xf>
    <xf numFmtId="179" fontId="28" fillId="0" borderId="0" xfId="0" applyNumberFormat="1" applyFont="1" applyFill="1" applyAlignment="1">
      <alignment vertical="center" wrapText="1"/>
    </xf>
    <xf numFmtId="179" fontId="28" fillId="0" borderId="0" xfId="0" applyNumberFormat="1" applyFont="1" applyFill="1" applyBorder="1" applyAlignment="1">
      <alignment vertical="center"/>
    </xf>
    <xf numFmtId="179" fontId="1" fillId="0" borderId="6" xfId="0" applyNumberFormat="1" applyFont="1" applyFill="1" applyBorder="1" applyAlignment="1">
      <alignment horizontal="left" vertical="center"/>
    </xf>
    <xf numFmtId="179" fontId="2" fillId="0" borderId="4" xfId="0" applyNumberFormat="1" applyFont="1" applyFill="1" applyBorder="1" applyAlignment="1">
      <alignment horizontal="left" vertical="center"/>
    </xf>
    <xf numFmtId="9"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79" fontId="28" fillId="0" borderId="0" xfId="0" applyNumberFormat="1" applyFont="1" applyFill="1" applyBorder="1" applyAlignment="1">
      <alignment vertical="center" wrapText="1"/>
    </xf>
    <xf numFmtId="179" fontId="2" fillId="0" borderId="2" xfId="0" applyNumberFormat="1" applyFont="1" applyFill="1" applyBorder="1" applyAlignment="1">
      <alignment vertical="center"/>
    </xf>
    <xf numFmtId="2" fontId="2" fillId="0" borderId="1" xfId="0" applyNumberFormat="1" applyFont="1" applyFill="1" applyBorder="1" applyAlignment="1">
      <alignment horizontal="center" vertical="center"/>
    </xf>
    <xf numFmtId="179" fontId="1" fillId="4" borderId="1" xfId="18" applyNumberFormat="1" applyFont="1" applyFill="1" applyBorder="1" applyAlignment="1">
      <alignment horizontal="left" vertical="center"/>
    </xf>
    <xf numFmtId="180" fontId="1" fillId="4" borderId="1" xfId="0" applyNumberFormat="1" applyFont="1" applyFill="1" applyBorder="1" applyAlignment="1">
      <alignment vertical="center"/>
    </xf>
    <xf numFmtId="179" fontId="1" fillId="0" borderId="5" xfId="0" applyNumberFormat="1" applyFont="1" applyFill="1" applyBorder="1" applyAlignment="1">
      <alignment horizontal="center" vertical="center" wrapText="1"/>
    </xf>
    <xf numFmtId="179" fontId="2" fillId="0" borderId="17" xfId="0" applyNumberFormat="1" applyFont="1" applyFill="1" applyBorder="1" applyAlignment="1">
      <alignment/>
    </xf>
    <xf numFmtId="179" fontId="25" fillId="0" borderId="17" xfId="0" applyNumberFormat="1" applyFont="1" applyFill="1" applyBorder="1" applyAlignment="1">
      <alignment/>
    </xf>
    <xf numFmtId="179" fontId="2" fillId="0" borderId="6" xfId="0" applyNumberFormat="1" applyFont="1" applyFill="1" applyBorder="1" applyAlignment="1">
      <alignment/>
    </xf>
    <xf numFmtId="179" fontId="2" fillId="0" borderId="17" xfId="18" applyNumberFormat="1" applyFont="1" applyFill="1" applyBorder="1" applyAlignment="1">
      <alignment horizontal="left" vertical="center"/>
    </xf>
    <xf numFmtId="179" fontId="1" fillId="0" borderId="0" xfId="0" applyNumberFormat="1" applyFont="1" applyFill="1" applyBorder="1" applyAlignment="1">
      <alignment/>
    </xf>
    <xf numFmtId="179" fontId="1" fillId="0" borderId="17" xfId="18" applyNumberFormat="1" applyFont="1" applyFill="1" applyBorder="1" applyAlignment="1">
      <alignment horizontal="left" vertical="center"/>
    </xf>
    <xf numFmtId="179" fontId="1" fillId="0" borderId="6" xfId="18" applyNumberFormat="1" applyFont="1" applyFill="1" applyBorder="1" applyAlignment="1">
      <alignment horizontal="left" vertical="center"/>
    </xf>
    <xf numFmtId="180" fontId="1" fillId="0" borderId="15" xfId="0" applyNumberFormat="1" applyFont="1" applyFill="1" applyBorder="1" applyAlignment="1">
      <alignment vertical="center"/>
    </xf>
    <xf numFmtId="179" fontId="10" fillId="0" borderId="0" xfId="0" applyNumberFormat="1" applyFont="1" applyFill="1" applyBorder="1" applyAlignment="1">
      <alignment horizontal="center" vertical="center" wrapText="1"/>
    </xf>
    <xf numFmtId="179" fontId="2" fillId="0" borderId="13" xfId="0" applyNumberFormat="1" applyFont="1" applyFill="1" applyBorder="1" applyAlignment="1">
      <alignment vertical="center"/>
    </xf>
    <xf numFmtId="179" fontId="9" fillId="0" borderId="13" xfId="0" applyNumberFormat="1" applyFont="1" applyFill="1" applyBorder="1" applyAlignment="1">
      <alignment horizontal="center" vertical="center" wrapText="1"/>
    </xf>
    <xf numFmtId="179" fontId="28" fillId="0" borderId="13" xfId="0" applyNumberFormat="1" applyFont="1" applyFill="1" applyBorder="1" applyAlignment="1">
      <alignment vertical="center" wrapText="1"/>
    </xf>
    <xf numFmtId="179" fontId="2" fillId="0" borderId="13" xfId="0" applyNumberFormat="1" applyFont="1" applyFill="1" applyBorder="1" applyAlignment="1">
      <alignment horizontal="center" vertical="center"/>
    </xf>
    <xf numFmtId="180" fontId="2" fillId="0" borderId="18" xfId="0" applyNumberFormat="1" applyFont="1" applyFill="1" applyBorder="1" applyAlignment="1">
      <alignment vertical="center"/>
    </xf>
    <xf numFmtId="180" fontId="15" fillId="0" borderId="18" xfId="0" applyNumberFormat="1" applyFont="1" applyFill="1" applyBorder="1" applyAlignment="1">
      <alignment vertical="center"/>
    </xf>
    <xf numFmtId="179" fontId="2" fillId="0" borderId="18" xfId="0" applyNumberFormat="1" applyFont="1" applyFill="1" applyBorder="1" applyAlignment="1">
      <alignment vertical="center"/>
    </xf>
    <xf numFmtId="179" fontId="9" fillId="0" borderId="0" xfId="0" applyNumberFormat="1" applyFont="1" applyFill="1" applyBorder="1" applyAlignment="1">
      <alignment horizontal="center" vertical="center"/>
    </xf>
    <xf numFmtId="179" fontId="2" fillId="0" borderId="0" xfId="18" applyNumberFormat="1" applyFont="1" applyFill="1" applyBorder="1" applyAlignment="1">
      <alignment horizontal="right" vertical="center"/>
    </xf>
    <xf numFmtId="179" fontId="2" fillId="5" borderId="0" xfId="18" applyNumberFormat="1" applyFont="1" applyFill="1" applyBorder="1" applyAlignment="1">
      <alignment horizontal="right" vertical="center"/>
    </xf>
    <xf numFmtId="10" fontId="2" fillId="0" borderId="0" xfId="18" applyNumberFormat="1" applyFont="1" applyFill="1" applyBorder="1" applyAlignment="1">
      <alignment horizontal="right" vertical="center"/>
    </xf>
    <xf numFmtId="179" fontId="1" fillId="0" borderId="0" xfId="18" applyNumberFormat="1" applyFont="1" applyFill="1" applyBorder="1" applyAlignment="1">
      <alignment horizontal="right" vertical="center"/>
    </xf>
    <xf numFmtId="179" fontId="1" fillId="0" borderId="19" xfId="0" applyNumberFormat="1" applyFont="1" applyFill="1" applyBorder="1" applyAlignment="1">
      <alignment vertical="center"/>
    </xf>
    <xf numFmtId="179" fontId="30" fillId="0" borderId="0" xfId="18" applyNumberFormat="1" applyFont="1" applyFill="1" applyBorder="1" applyAlignment="1" quotePrefix="1">
      <alignment vertical="center"/>
    </xf>
    <xf numFmtId="179" fontId="31" fillId="0" borderId="0" xfId="18" applyNumberFormat="1" applyFont="1" applyFill="1" applyBorder="1" applyAlignment="1" quotePrefix="1">
      <alignment vertical="center"/>
    </xf>
    <xf numFmtId="179" fontId="23" fillId="0" borderId="0" xfId="0" applyNumberFormat="1" applyFont="1" applyFill="1" applyBorder="1" applyAlignment="1">
      <alignment vertical="top" wrapText="1"/>
    </xf>
    <xf numFmtId="179" fontId="8" fillId="0" borderId="0" xfId="0" applyNumberFormat="1" applyFont="1" applyFill="1" applyBorder="1" applyAlignment="1">
      <alignment horizontal="right"/>
    </xf>
    <xf numFmtId="179" fontId="17" fillId="0" borderId="0" xfId="18" applyNumberFormat="1" applyFont="1" applyFill="1" applyBorder="1" applyAlignment="1">
      <alignment vertical="center"/>
    </xf>
    <xf numFmtId="187" fontId="2" fillId="0" borderId="1" xfId="18" applyNumberFormat="1" applyFont="1" applyFill="1" applyBorder="1" applyAlignment="1">
      <alignment horizontal="center" vertical="center"/>
    </xf>
    <xf numFmtId="179" fontId="32" fillId="0" borderId="0" xfId="18" applyNumberFormat="1" applyFont="1" applyFill="1" applyBorder="1" applyAlignment="1">
      <alignment horizontal="right" vertical="center"/>
    </xf>
    <xf numFmtId="179" fontId="1" fillId="0" borderId="6" xfId="0" applyNumberFormat="1" applyFont="1" applyFill="1" applyBorder="1" applyAlignment="1">
      <alignment vertical="center"/>
    </xf>
    <xf numFmtId="171" fontId="1" fillId="4" borderId="1" xfId="0" applyNumberFormat="1" applyFont="1" applyFill="1" applyBorder="1" applyAlignment="1">
      <alignment vertical="center"/>
    </xf>
    <xf numFmtId="180" fontId="2" fillId="0" borderId="0" xfId="0" applyNumberFormat="1" applyFont="1" applyFill="1" applyAlignment="1">
      <alignment vertical="center"/>
    </xf>
    <xf numFmtId="171" fontId="1" fillId="0" borderId="0" xfId="0" applyNumberFormat="1" applyFont="1" applyFill="1" applyBorder="1" applyAlignment="1">
      <alignment vertical="center"/>
    </xf>
    <xf numFmtId="179" fontId="34" fillId="0" borderId="0" xfId="0" applyNumberFormat="1" applyFont="1" applyFill="1" applyAlignment="1">
      <alignment horizontal="right" vertical="center"/>
    </xf>
    <xf numFmtId="179" fontId="34" fillId="0" borderId="0" xfId="0" applyNumberFormat="1" applyFont="1" applyFill="1" applyAlignment="1">
      <alignment vertical="center"/>
    </xf>
    <xf numFmtId="179" fontId="34" fillId="0" borderId="0" xfId="0" applyNumberFormat="1" applyFont="1" applyFill="1" applyAlignment="1" quotePrefix="1">
      <alignment vertical="center"/>
    </xf>
    <xf numFmtId="179" fontId="34" fillId="0" borderId="15" xfId="0" applyNumberFormat="1" applyFont="1" applyFill="1" applyBorder="1" applyAlignment="1">
      <alignment vertical="center"/>
    </xf>
    <xf numFmtId="179" fontId="6" fillId="0" borderId="0" xfId="0" applyNumberFormat="1" applyFont="1" applyFill="1" applyAlignment="1">
      <alignment vertical="center"/>
    </xf>
    <xf numFmtId="179" fontId="6" fillId="0" borderId="0" xfId="0" applyNumberFormat="1" applyFont="1" applyFill="1" applyBorder="1" applyAlignment="1">
      <alignment horizontal="center" wrapText="1"/>
    </xf>
    <xf numFmtId="179" fontId="8" fillId="0" borderId="0" xfId="0" applyNumberFormat="1" applyFont="1" applyFill="1" applyBorder="1" applyAlignment="1">
      <alignment horizontal="center" wrapText="1"/>
    </xf>
    <xf numFmtId="179" fontId="1" fillId="0" borderId="0" xfId="0" applyNumberFormat="1" applyFont="1" applyFill="1" applyBorder="1" applyAlignment="1">
      <alignment horizontal="center" wrapText="1"/>
    </xf>
    <xf numFmtId="179" fontId="9" fillId="0" borderId="20" xfId="0" applyNumberFormat="1" applyFont="1" applyFill="1" applyBorder="1" applyAlignment="1">
      <alignment horizontal="center" vertical="center" wrapText="1"/>
    </xf>
    <xf numFmtId="179" fontId="6" fillId="3" borderId="20" xfId="0" applyNumberFormat="1" applyFont="1" applyFill="1" applyBorder="1" applyAlignment="1">
      <alignment horizontal="center" vertical="center"/>
    </xf>
    <xf numFmtId="179" fontId="2" fillId="0" borderId="21" xfId="18" applyNumberFormat="1" applyFont="1" applyFill="1" applyBorder="1" applyAlignment="1">
      <alignment vertical="center"/>
    </xf>
    <xf numFmtId="179" fontId="2" fillId="0" borderId="22" xfId="18" applyNumberFormat="1" applyFont="1" applyFill="1" applyBorder="1" applyAlignment="1">
      <alignment vertical="center"/>
    </xf>
    <xf numFmtId="179" fontId="2" fillId="0" borderId="2" xfId="18" applyNumberFormat="1" applyFont="1" applyFill="1" applyBorder="1" applyAlignment="1">
      <alignment vertical="center"/>
    </xf>
    <xf numFmtId="179" fontId="2" fillId="0" borderId="6" xfId="0" applyNumberFormat="1" applyFont="1" applyFill="1" applyBorder="1" applyAlignment="1">
      <alignment vertical="center"/>
    </xf>
    <xf numFmtId="179" fontId="6" fillId="0" borderId="0" xfId="0" applyNumberFormat="1" applyFont="1" applyFill="1" applyBorder="1" applyAlignment="1">
      <alignment horizontal="center" vertical="center"/>
    </xf>
    <xf numFmtId="179" fontId="1" fillId="2" borderId="2" xfId="0" applyNumberFormat="1" applyFont="1" applyFill="1" applyBorder="1" applyAlignment="1">
      <alignment vertical="center"/>
    </xf>
    <xf numFmtId="179" fontId="2" fillId="0" borderId="23" xfId="0" applyNumberFormat="1" applyFont="1" applyFill="1" applyBorder="1" applyAlignment="1">
      <alignment vertical="center"/>
    </xf>
    <xf numFmtId="179" fontId="1" fillId="4" borderId="2" xfId="0" applyNumberFormat="1" applyFont="1" applyFill="1" applyBorder="1" applyAlignment="1">
      <alignment vertical="center"/>
    </xf>
    <xf numFmtId="1" fontId="8" fillId="0" borderId="0" xfId="0" applyNumberFormat="1" applyFont="1" applyFill="1" applyBorder="1" applyAlignment="1">
      <alignment horizontal="right" vertical="center"/>
    </xf>
    <xf numFmtId="179" fontId="2" fillId="0" borderId="15" xfId="0" applyNumberFormat="1" applyFont="1" applyFill="1" applyBorder="1" applyAlignment="1" quotePrefix="1">
      <alignment vertical="center"/>
    </xf>
    <xf numFmtId="179" fontId="35" fillId="0" borderId="0" xfId="0" applyNumberFormat="1" applyFont="1" applyAlignment="1">
      <alignment vertical="center"/>
    </xf>
    <xf numFmtId="179" fontId="34" fillId="0" borderId="15" xfId="0" applyNumberFormat="1" applyFont="1" applyFill="1" applyBorder="1" applyAlignment="1" quotePrefix="1">
      <alignment vertical="center"/>
    </xf>
    <xf numFmtId="179" fontId="6" fillId="0" borderId="0" xfId="0" applyNumberFormat="1" applyFont="1" applyFill="1" applyAlignment="1" quotePrefix="1">
      <alignment vertical="center"/>
    </xf>
    <xf numFmtId="179" fontId="6" fillId="0" borderId="24" xfId="0" applyNumberFormat="1" applyFont="1" applyFill="1" applyBorder="1" applyAlignment="1">
      <alignment horizontal="center" vertical="center" wrapText="1"/>
    </xf>
    <xf numFmtId="179" fontId="1" fillId="0" borderId="0" xfId="0" applyNumberFormat="1" applyFont="1" applyFill="1" applyAlignment="1" quotePrefix="1">
      <alignment vertical="center"/>
    </xf>
    <xf numFmtId="179" fontId="1" fillId="0" borderId="15" xfId="0" applyNumberFormat="1" applyFont="1" applyFill="1" applyBorder="1" applyAlignment="1" quotePrefix="1">
      <alignment vertical="center"/>
    </xf>
    <xf numFmtId="179" fontId="23" fillId="0" borderId="0" xfId="0" applyNumberFormat="1" applyFont="1" applyFill="1" applyBorder="1" applyAlignment="1">
      <alignment horizontal="left" vertical="top" wrapText="1"/>
    </xf>
    <xf numFmtId="179" fontId="2" fillId="0" borderId="0" xfId="0" applyNumberFormat="1" applyFont="1" applyFill="1" applyBorder="1" applyAlignment="1">
      <alignment horizontal="center" vertical="center"/>
    </xf>
    <xf numFmtId="2" fontId="21" fillId="0" borderId="1" xfId="18" applyNumberFormat="1" applyFont="1" applyFill="1" applyBorder="1" applyAlignment="1">
      <alignment horizontal="center" vertical="center"/>
    </xf>
    <xf numFmtId="179" fontId="37" fillId="0" borderId="0" xfId="0" applyNumberFormat="1" applyFont="1" applyFill="1" applyAlignment="1">
      <alignment horizontal="right" vertical="center"/>
    </xf>
    <xf numFmtId="179" fontId="38" fillId="0" borderId="0" xfId="0" applyNumberFormat="1" applyFont="1" applyFill="1" applyAlignment="1">
      <alignment horizontal="right" vertical="center"/>
    </xf>
    <xf numFmtId="179" fontId="23" fillId="0" borderId="0" xfId="0" applyNumberFormat="1" applyFont="1" applyFill="1" applyBorder="1" applyAlignment="1">
      <alignment horizontal="left" vertical="center" wrapText="1"/>
    </xf>
    <xf numFmtId="0" fontId="0" fillId="0" borderId="0" xfId="0" applyAlignment="1">
      <alignment/>
    </xf>
    <xf numFmtId="179" fontId="23" fillId="0" borderId="0" xfId="0" applyNumberFormat="1" applyFont="1" applyFill="1" applyBorder="1" applyAlignment="1">
      <alignment horizontal="left" vertical="top" wrapText="1"/>
    </xf>
    <xf numFmtId="179" fontId="23" fillId="0" borderId="0" xfId="0" applyNumberFormat="1" applyFont="1" applyFill="1" applyAlignment="1">
      <alignment horizontal="center" vertical="center" wrapText="1"/>
    </xf>
    <xf numFmtId="179" fontId="10" fillId="0" borderId="0" xfId="0" applyNumberFormat="1" applyFont="1" applyFill="1" applyAlignment="1">
      <alignment horizontal="center" vertical="center" wrapText="1"/>
    </xf>
    <xf numFmtId="179" fontId="2" fillId="0" borderId="0" xfId="0" applyNumberFormat="1" applyFont="1" applyFill="1" applyBorder="1" applyAlignment="1">
      <alignment horizontal="center" vertical="center"/>
    </xf>
    <xf numFmtId="179" fontId="2" fillId="0" borderId="1" xfId="18" applyNumberFormat="1" applyFont="1" applyFill="1" applyBorder="1" applyAlignment="1">
      <alignment horizontal="center" vertical="center"/>
    </xf>
    <xf numFmtId="179" fontId="1" fillId="2" borderId="3" xfId="0" applyNumberFormat="1" applyFont="1" applyFill="1" applyBorder="1" applyAlignment="1">
      <alignment horizontal="center" vertical="center"/>
    </xf>
    <xf numFmtId="179" fontId="1" fillId="2" borderId="2" xfId="0" applyNumberFormat="1" applyFont="1" applyFill="1" applyBorder="1" applyAlignment="1">
      <alignment horizontal="center" vertical="center"/>
    </xf>
    <xf numFmtId="179" fontId="1" fillId="4" borderId="3" xfId="0" applyNumberFormat="1" applyFont="1" applyFill="1" applyBorder="1" applyAlignment="1">
      <alignment horizontal="left" vertical="center" wrapText="1"/>
    </xf>
    <xf numFmtId="179" fontId="1" fillId="4" borderId="2" xfId="0" applyNumberFormat="1" applyFont="1" applyFill="1" applyBorder="1" applyAlignment="1">
      <alignment horizontal="left" vertical="center" wrapText="1"/>
    </xf>
    <xf numFmtId="179" fontId="1" fillId="2" borderId="3" xfId="0" applyNumberFormat="1" applyFont="1" applyFill="1" applyBorder="1" applyAlignment="1">
      <alignment horizontal="left" vertical="center" wrapText="1"/>
    </xf>
    <xf numFmtId="179" fontId="1" fillId="2" borderId="2" xfId="0" applyNumberFormat="1" applyFont="1" applyFill="1" applyBorder="1" applyAlignment="1">
      <alignment horizontal="left" vertical="center" wrapText="1"/>
    </xf>
    <xf numFmtId="179" fontId="36" fillId="0" borderId="0" xfId="0" applyNumberFormat="1" applyFont="1" applyFill="1" applyBorder="1" applyAlignment="1">
      <alignment horizontal="center" vertical="center"/>
    </xf>
    <xf numFmtId="9" fontId="36" fillId="0" borderId="0" xfId="0" applyNumberFormat="1" applyFont="1" applyFill="1" applyBorder="1" applyAlignment="1">
      <alignment horizontal="center" vertical="center"/>
    </xf>
    <xf numFmtId="179" fontId="9" fillId="0" borderId="1" xfId="18" applyNumberFormat="1" applyFont="1" applyFill="1" applyBorder="1" applyAlignment="1">
      <alignment horizontal="center" vertical="center"/>
    </xf>
    <xf numFmtId="179" fontId="2" fillId="0" borderId="25" xfId="18" applyNumberFormat="1" applyFont="1" applyFill="1" applyBorder="1" applyAlignment="1">
      <alignment horizontal="center" vertical="center"/>
    </xf>
    <xf numFmtId="179" fontId="2" fillId="0" borderId="23" xfId="18" applyNumberFormat="1" applyFont="1" applyFill="1" applyBorder="1" applyAlignment="1">
      <alignment horizontal="center" vertical="center"/>
    </xf>
    <xf numFmtId="179" fontId="23" fillId="0" borderId="0" xfId="0" applyNumberFormat="1" applyFont="1" applyFill="1" applyBorder="1" applyAlignment="1">
      <alignment horizontal="left" vertical="top"/>
    </xf>
    <xf numFmtId="179" fontId="1" fillId="4" borderId="3" xfId="18" applyNumberFormat="1" applyFont="1" applyFill="1" applyBorder="1" applyAlignment="1">
      <alignment horizontal="center" vertical="center"/>
    </xf>
    <xf numFmtId="179" fontId="1" fillId="4" borderId="2" xfId="18" applyNumberFormat="1" applyFont="1" applyFill="1" applyBorder="1" applyAlignment="1">
      <alignment horizontal="center" vertical="center"/>
    </xf>
    <xf numFmtId="179" fontId="9" fillId="0" borderId="26" xfId="0" applyNumberFormat="1" applyFont="1" applyFill="1" applyBorder="1" applyAlignment="1">
      <alignment horizontal="center" vertical="center"/>
    </xf>
    <xf numFmtId="179" fontId="9" fillId="0" borderId="12" xfId="0" applyNumberFormat="1" applyFont="1" applyFill="1" applyBorder="1" applyAlignment="1">
      <alignment horizontal="center" vertical="center"/>
    </xf>
    <xf numFmtId="179" fontId="9" fillId="0" borderId="20" xfId="0" applyNumberFormat="1" applyFont="1" applyFill="1" applyBorder="1" applyAlignment="1">
      <alignment horizontal="center" vertical="center"/>
    </xf>
    <xf numFmtId="179" fontId="2" fillId="0" borderId="3" xfId="0" applyNumberFormat="1" applyFont="1" applyFill="1" applyBorder="1" applyAlignment="1">
      <alignment horizontal="left" vertical="center"/>
    </xf>
    <xf numFmtId="179" fontId="2" fillId="0" borderId="2" xfId="0" applyNumberFormat="1" applyFont="1" applyFill="1" applyBorder="1" applyAlignment="1">
      <alignment horizontal="left" vertical="center"/>
    </xf>
    <xf numFmtId="179" fontId="2" fillId="0" borderId="3" xfId="18" applyNumberFormat="1" applyFont="1" applyFill="1" applyBorder="1" applyAlignment="1">
      <alignment horizontal="center" vertical="center"/>
    </xf>
    <xf numFmtId="179" fontId="2" fillId="0" borderId="2" xfId="18" applyNumberFormat="1" applyFont="1" applyFill="1" applyBorder="1" applyAlignment="1">
      <alignment horizontal="center" vertical="center"/>
    </xf>
    <xf numFmtId="179" fontId="6" fillId="0" borderId="24" xfId="0" applyNumberFormat="1" applyFont="1" applyFill="1" applyBorder="1" applyAlignment="1">
      <alignment horizontal="center" vertical="center" wrapText="1"/>
    </xf>
    <xf numFmtId="179" fontId="1" fillId="2" borderId="3" xfId="18" applyNumberFormat="1" applyFont="1" applyFill="1" applyBorder="1" applyAlignment="1">
      <alignment horizontal="center" vertical="center"/>
    </xf>
    <xf numFmtId="179" fontId="1" fillId="2" borderId="2" xfId="18" applyNumberFormat="1" applyFont="1" applyFill="1" applyBorder="1" applyAlignment="1">
      <alignment horizontal="center" vertical="center"/>
    </xf>
    <xf numFmtId="179" fontId="1" fillId="2" borderId="1" xfId="0" applyNumberFormat="1" applyFont="1" applyFill="1" applyBorder="1" applyAlignment="1">
      <alignment horizontal="left" vertical="center" wrapText="1"/>
    </xf>
    <xf numFmtId="179" fontId="6" fillId="0" borderId="24" xfId="0" applyNumberFormat="1" applyFont="1" applyFill="1" applyBorder="1" applyAlignment="1">
      <alignment horizontal="center" wrapText="1"/>
    </xf>
    <xf numFmtId="179" fontId="9" fillId="0" borderId="24"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79" fontId="1" fillId="0" borderId="0" xfId="18" applyNumberFormat="1" applyFont="1" applyFill="1" applyBorder="1" applyAlignment="1">
      <alignment horizontal="center" vertical="center"/>
    </xf>
    <xf numFmtId="179" fontId="10" fillId="0" borderId="26" xfId="0" applyNumberFormat="1" applyFont="1" applyFill="1" applyBorder="1" applyAlignment="1">
      <alignment horizontal="center" vertical="center" wrapText="1"/>
    </xf>
    <xf numFmtId="179" fontId="10" fillId="0" borderId="12" xfId="0" applyNumberFormat="1" applyFont="1" applyFill="1" applyBorder="1" applyAlignment="1">
      <alignment horizontal="center" vertical="center" wrapText="1"/>
    </xf>
    <xf numFmtId="179" fontId="10" fillId="0" borderId="20" xfId="0" applyNumberFormat="1" applyFont="1" applyFill="1" applyBorder="1" applyAlignment="1">
      <alignment horizontal="center" vertical="center" wrapText="1"/>
    </xf>
    <xf numFmtId="179" fontId="1" fillId="0" borderId="26" xfId="0" applyNumberFormat="1" applyFont="1" applyFill="1" applyBorder="1" applyAlignment="1">
      <alignment horizontal="center" vertical="center" wrapText="1"/>
    </xf>
    <xf numFmtId="179" fontId="1" fillId="0" borderId="20" xfId="0" applyNumberFormat="1" applyFont="1" applyFill="1" applyBorder="1" applyAlignment="1">
      <alignment horizontal="center" vertical="center" wrapText="1"/>
    </xf>
    <xf numFmtId="179" fontId="1" fillId="2" borderId="1" xfId="18" applyNumberFormat="1" applyFont="1" applyFill="1" applyBorder="1" applyAlignment="1">
      <alignment horizontal="center" vertical="center"/>
    </xf>
    <xf numFmtId="179" fontId="2" fillId="0" borderId="3" xfId="0" applyNumberFormat="1" applyFont="1" applyFill="1" applyBorder="1" applyAlignment="1">
      <alignment horizontal="center" vertical="center"/>
    </xf>
    <xf numFmtId="179" fontId="2" fillId="0" borderId="2" xfId="0" applyNumberFormat="1" applyFont="1" applyFill="1" applyBorder="1" applyAlignment="1">
      <alignment horizontal="center" vertical="center"/>
    </xf>
    <xf numFmtId="179" fontId="2" fillId="0" borderId="1" xfId="0" applyNumberFormat="1" applyFont="1" applyFill="1" applyBorder="1" applyAlignment="1">
      <alignment horizontal="center" vertical="center"/>
    </xf>
    <xf numFmtId="179" fontId="1" fillId="4" borderId="1" xfId="18" applyNumberFormat="1" applyFont="1" applyFill="1" applyBorder="1" applyAlignment="1">
      <alignment horizontal="center" vertical="center"/>
    </xf>
    <xf numFmtId="179" fontId="1" fillId="0" borderId="8" xfId="0" applyNumberFormat="1" applyFont="1" applyFill="1" applyBorder="1" applyAlignment="1">
      <alignment horizontal="center" vertical="center" wrapText="1"/>
    </xf>
    <xf numFmtId="179" fontId="1" fillId="0" borderId="27" xfId="0" applyNumberFormat="1" applyFont="1" applyFill="1" applyBorder="1" applyAlignment="1">
      <alignment horizontal="center" vertical="center" wrapText="1"/>
    </xf>
    <xf numFmtId="179" fontId="1" fillId="0" borderId="24" xfId="0" applyNumberFormat="1" applyFont="1" applyFill="1" applyBorder="1" applyAlignment="1">
      <alignment horizont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31</xdr:row>
      <xdr:rowOff>0</xdr:rowOff>
    </xdr:from>
    <xdr:to>
      <xdr:col>19</xdr:col>
      <xdr:colOff>0</xdr:colOff>
      <xdr:row>31</xdr:row>
      <xdr:rowOff>0</xdr:rowOff>
    </xdr:to>
    <xdr:sp>
      <xdr:nvSpPr>
        <xdr:cNvPr id="1" name="Line 1"/>
        <xdr:cNvSpPr>
          <a:spLocks/>
        </xdr:cNvSpPr>
      </xdr:nvSpPr>
      <xdr:spPr>
        <a:xfrm>
          <a:off x="6076950" y="7200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31</xdr:row>
      <xdr:rowOff>0</xdr:rowOff>
    </xdr:from>
    <xdr:to>
      <xdr:col>36</xdr:col>
      <xdr:colOff>0</xdr:colOff>
      <xdr:row>31</xdr:row>
      <xdr:rowOff>0</xdr:rowOff>
    </xdr:to>
    <xdr:sp>
      <xdr:nvSpPr>
        <xdr:cNvPr id="2" name="Line 2"/>
        <xdr:cNvSpPr>
          <a:spLocks/>
        </xdr:cNvSpPr>
      </xdr:nvSpPr>
      <xdr:spPr>
        <a:xfrm>
          <a:off x="12192000" y="7200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31</xdr:row>
      <xdr:rowOff>0</xdr:rowOff>
    </xdr:from>
    <xdr:to>
      <xdr:col>19</xdr:col>
      <xdr:colOff>0</xdr:colOff>
      <xdr:row>31</xdr:row>
      <xdr:rowOff>0</xdr:rowOff>
    </xdr:to>
    <xdr:sp>
      <xdr:nvSpPr>
        <xdr:cNvPr id="3" name="Line 3"/>
        <xdr:cNvSpPr>
          <a:spLocks/>
        </xdr:cNvSpPr>
      </xdr:nvSpPr>
      <xdr:spPr>
        <a:xfrm>
          <a:off x="6076950" y="7200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31</xdr:row>
      <xdr:rowOff>0</xdr:rowOff>
    </xdr:from>
    <xdr:to>
      <xdr:col>41</xdr:col>
      <xdr:colOff>0</xdr:colOff>
      <xdr:row>31</xdr:row>
      <xdr:rowOff>0</xdr:rowOff>
    </xdr:to>
    <xdr:sp>
      <xdr:nvSpPr>
        <xdr:cNvPr id="4" name="Line 5"/>
        <xdr:cNvSpPr>
          <a:spLocks/>
        </xdr:cNvSpPr>
      </xdr:nvSpPr>
      <xdr:spPr>
        <a:xfrm flipH="1">
          <a:off x="17916525" y="7200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31</xdr:row>
      <xdr:rowOff>0</xdr:rowOff>
    </xdr:from>
    <xdr:to>
      <xdr:col>41</xdr:col>
      <xdr:colOff>0</xdr:colOff>
      <xdr:row>31</xdr:row>
      <xdr:rowOff>0</xdr:rowOff>
    </xdr:to>
    <xdr:sp>
      <xdr:nvSpPr>
        <xdr:cNvPr id="5" name="Line 6"/>
        <xdr:cNvSpPr>
          <a:spLocks/>
        </xdr:cNvSpPr>
      </xdr:nvSpPr>
      <xdr:spPr>
        <a:xfrm flipH="1">
          <a:off x="17916525" y="7200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31</xdr:row>
      <xdr:rowOff>0</xdr:rowOff>
    </xdr:from>
    <xdr:to>
      <xdr:col>41</xdr:col>
      <xdr:colOff>0</xdr:colOff>
      <xdr:row>31</xdr:row>
      <xdr:rowOff>0</xdr:rowOff>
    </xdr:to>
    <xdr:sp>
      <xdr:nvSpPr>
        <xdr:cNvPr id="6" name="Line 7"/>
        <xdr:cNvSpPr>
          <a:spLocks/>
        </xdr:cNvSpPr>
      </xdr:nvSpPr>
      <xdr:spPr>
        <a:xfrm>
          <a:off x="17916525" y="7200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31</xdr:row>
      <xdr:rowOff>0</xdr:rowOff>
    </xdr:from>
    <xdr:to>
      <xdr:col>10</xdr:col>
      <xdr:colOff>0</xdr:colOff>
      <xdr:row>31</xdr:row>
      <xdr:rowOff>0</xdr:rowOff>
    </xdr:to>
    <xdr:sp>
      <xdr:nvSpPr>
        <xdr:cNvPr id="1" name="Line 1"/>
        <xdr:cNvSpPr>
          <a:spLocks/>
        </xdr:cNvSpPr>
      </xdr:nvSpPr>
      <xdr:spPr>
        <a:xfrm>
          <a:off x="5229225" y="8315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31</xdr:row>
      <xdr:rowOff>0</xdr:rowOff>
    </xdr:from>
    <xdr:to>
      <xdr:col>41</xdr:col>
      <xdr:colOff>0</xdr:colOff>
      <xdr:row>31</xdr:row>
      <xdr:rowOff>0</xdr:rowOff>
    </xdr:to>
    <xdr:sp>
      <xdr:nvSpPr>
        <xdr:cNvPr id="2" name="Line 2"/>
        <xdr:cNvSpPr>
          <a:spLocks/>
        </xdr:cNvSpPr>
      </xdr:nvSpPr>
      <xdr:spPr>
        <a:xfrm>
          <a:off x="15849600" y="8315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3" name="Line 3"/>
        <xdr:cNvSpPr>
          <a:spLocks/>
        </xdr:cNvSpPr>
      </xdr:nvSpPr>
      <xdr:spPr>
        <a:xfrm>
          <a:off x="5229225" y="8315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31</xdr:row>
      <xdr:rowOff>0</xdr:rowOff>
    </xdr:from>
    <xdr:to>
      <xdr:col>46</xdr:col>
      <xdr:colOff>0</xdr:colOff>
      <xdr:row>31</xdr:row>
      <xdr:rowOff>0</xdr:rowOff>
    </xdr:to>
    <xdr:sp>
      <xdr:nvSpPr>
        <xdr:cNvPr id="4" name="Line 4"/>
        <xdr:cNvSpPr>
          <a:spLocks/>
        </xdr:cNvSpPr>
      </xdr:nvSpPr>
      <xdr:spPr>
        <a:xfrm flipH="1">
          <a:off x="20050125" y="8315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31</xdr:row>
      <xdr:rowOff>0</xdr:rowOff>
    </xdr:from>
    <xdr:to>
      <xdr:col>46</xdr:col>
      <xdr:colOff>0</xdr:colOff>
      <xdr:row>31</xdr:row>
      <xdr:rowOff>0</xdr:rowOff>
    </xdr:to>
    <xdr:sp>
      <xdr:nvSpPr>
        <xdr:cNvPr id="5" name="Line 5"/>
        <xdr:cNvSpPr>
          <a:spLocks/>
        </xdr:cNvSpPr>
      </xdr:nvSpPr>
      <xdr:spPr>
        <a:xfrm flipH="1">
          <a:off x="20050125" y="8315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31</xdr:row>
      <xdr:rowOff>0</xdr:rowOff>
    </xdr:from>
    <xdr:to>
      <xdr:col>46</xdr:col>
      <xdr:colOff>0</xdr:colOff>
      <xdr:row>31</xdr:row>
      <xdr:rowOff>0</xdr:rowOff>
    </xdr:to>
    <xdr:sp>
      <xdr:nvSpPr>
        <xdr:cNvPr id="6" name="Line 6"/>
        <xdr:cNvSpPr>
          <a:spLocks/>
        </xdr:cNvSpPr>
      </xdr:nvSpPr>
      <xdr:spPr>
        <a:xfrm>
          <a:off x="20050125" y="8315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31</xdr:row>
      <xdr:rowOff>0</xdr:rowOff>
    </xdr:from>
    <xdr:to>
      <xdr:col>51</xdr:col>
      <xdr:colOff>0</xdr:colOff>
      <xdr:row>31</xdr:row>
      <xdr:rowOff>0</xdr:rowOff>
    </xdr:to>
    <xdr:sp>
      <xdr:nvSpPr>
        <xdr:cNvPr id="7" name="Line 8"/>
        <xdr:cNvSpPr>
          <a:spLocks/>
        </xdr:cNvSpPr>
      </xdr:nvSpPr>
      <xdr:spPr>
        <a:xfrm>
          <a:off x="21278850" y="8315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31</xdr:row>
      <xdr:rowOff>0</xdr:rowOff>
    </xdr:from>
    <xdr:to>
      <xdr:col>51</xdr:col>
      <xdr:colOff>0</xdr:colOff>
      <xdr:row>31</xdr:row>
      <xdr:rowOff>0</xdr:rowOff>
    </xdr:to>
    <xdr:sp>
      <xdr:nvSpPr>
        <xdr:cNvPr id="8" name="Line 9"/>
        <xdr:cNvSpPr>
          <a:spLocks/>
        </xdr:cNvSpPr>
      </xdr:nvSpPr>
      <xdr:spPr>
        <a:xfrm>
          <a:off x="21278850" y="8315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31</xdr:row>
      <xdr:rowOff>0</xdr:rowOff>
    </xdr:from>
    <xdr:to>
      <xdr:col>10</xdr:col>
      <xdr:colOff>0</xdr:colOff>
      <xdr:row>31</xdr:row>
      <xdr:rowOff>0</xdr:rowOff>
    </xdr:to>
    <xdr:sp>
      <xdr:nvSpPr>
        <xdr:cNvPr id="1" name="Line 1"/>
        <xdr:cNvSpPr>
          <a:spLocks/>
        </xdr:cNvSpPr>
      </xdr:nvSpPr>
      <xdr:spPr>
        <a:xfrm>
          <a:off x="61245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31</xdr:row>
      <xdr:rowOff>0</xdr:rowOff>
    </xdr:from>
    <xdr:to>
      <xdr:col>27</xdr:col>
      <xdr:colOff>0</xdr:colOff>
      <xdr:row>31</xdr:row>
      <xdr:rowOff>0</xdr:rowOff>
    </xdr:to>
    <xdr:sp>
      <xdr:nvSpPr>
        <xdr:cNvPr id="2" name="Line 2"/>
        <xdr:cNvSpPr>
          <a:spLocks/>
        </xdr:cNvSpPr>
      </xdr:nvSpPr>
      <xdr:spPr>
        <a:xfrm>
          <a:off x="1227772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3" name="Line 3"/>
        <xdr:cNvSpPr>
          <a:spLocks/>
        </xdr:cNvSpPr>
      </xdr:nvSpPr>
      <xdr:spPr>
        <a:xfrm>
          <a:off x="61245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4" name="Line 4"/>
        <xdr:cNvSpPr>
          <a:spLocks/>
        </xdr:cNvSpPr>
      </xdr:nvSpPr>
      <xdr:spPr>
        <a:xfrm flipH="1">
          <a:off x="180117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5" name="Line 5"/>
        <xdr:cNvSpPr>
          <a:spLocks/>
        </xdr:cNvSpPr>
      </xdr:nvSpPr>
      <xdr:spPr>
        <a:xfrm flipH="1">
          <a:off x="180117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6" name="Line 6"/>
        <xdr:cNvSpPr>
          <a:spLocks/>
        </xdr:cNvSpPr>
      </xdr:nvSpPr>
      <xdr:spPr>
        <a:xfrm>
          <a:off x="180117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7" name="Line 7"/>
        <xdr:cNvSpPr>
          <a:spLocks/>
        </xdr:cNvSpPr>
      </xdr:nvSpPr>
      <xdr:spPr>
        <a:xfrm>
          <a:off x="61245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31</xdr:row>
      <xdr:rowOff>0</xdr:rowOff>
    </xdr:from>
    <xdr:to>
      <xdr:col>27</xdr:col>
      <xdr:colOff>0</xdr:colOff>
      <xdr:row>31</xdr:row>
      <xdr:rowOff>0</xdr:rowOff>
    </xdr:to>
    <xdr:sp>
      <xdr:nvSpPr>
        <xdr:cNvPr id="8" name="Line 8"/>
        <xdr:cNvSpPr>
          <a:spLocks/>
        </xdr:cNvSpPr>
      </xdr:nvSpPr>
      <xdr:spPr>
        <a:xfrm>
          <a:off x="1227772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9" name="Line 9"/>
        <xdr:cNvSpPr>
          <a:spLocks/>
        </xdr:cNvSpPr>
      </xdr:nvSpPr>
      <xdr:spPr>
        <a:xfrm>
          <a:off x="61245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0" name="Line 10"/>
        <xdr:cNvSpPr>
          <a:spLocks/>
        </xdr:cNvSpPr>
      </xdr:nvSpPr>
      <xdr:spPr>
        <a:xfrm flipH="1">
          <a:off x="180117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1" name="Line 11"/>
        <xdr:cNvSpPr>
          <a:spLocks/>
        </xdr:cNvSpPr>
      </xdr:nvSpPr>
      <xdr:spPr>
        <a:xfrm flipH="1">
          <a:off x="180117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2" name="Line 12"/>
        <xdr:cNvSpPr>
          <a:spLocks/>
        </xdr:cNvSpPr>
      </xdr:nvSpPr>
      <xdr:spPr>
        <a:xfrm>
          <a:off x="18011775" y="651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Line 1"/>
        <xdr:cNvSpPr>
          <a:spLocks/>
        </xdr:cNvSpPr>
      </xdr:nvSpPr>
      <xdr:spPr>
        <a:xfrm>
          <a:off x="61436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27</xdr:col>
      <xdr:colOff>0</xdr:colOff>
      <xdr:row>0</xdr:row>
      <xdr:rowOff>0</xdr:rowOff>
    </xdr:to>
    <xdr:sp>
      <xdr:nvSpPr>
        <xdr:cNvPr id="2" name="Line 2"/>
        <xdr:cNvSpPr>
          <a:spLocks/>
        </xdr:cNvSpPr>
      </xdr:nvSpPr>
      <xdr:spPr>
        <a:xfrm>
          <a:off x="122967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3" name="Line 3"/>
        <xdr:cNvSpPr>
          <a:spLocks/>
        </xdr:cNvSpPr>
      </xdr:nvSpPr>
      <xdr:spPr>
        <a:xfrm>
          <a:off x="61436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0</xdr:colOff>
      <xdr:row>0</xdr:row>
      <xdr:rowOff>0</xdr:rowOff>
    </xdr:to>
    <xdr:sp>
      <xdr:nvSpPr>
        <xdr:cNvPr id="4" name="Line 4"/>
        <xdr:cNvSpPr>
          <a:spLocks/>
        </xdr:cNvSpPr>
      </xdr:nvSpPr>
      <xdr:spPr>
        <a:xfrm flipH="1">
          <a:off x="17764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0</xdr:colOff>
      <xdr:row>0</xdr:row>
      <xdr:rowOff>0</xdr:rowOff>
    </xdr:to>
    <xdr:sp>
      <xdr:nvSpPr>
        <xdr:cNvPr id="5" name="Line 5"/>
        <xdr:cNvSpPr>
          <a:spLocks/>
        </xdr:cNvSpPr>
      </xdr:nvSpPr>
      <xdr:spPr>
        <a:xfrm flipH="1">
          <a:off x="17764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0</xdr:row>
      <xdr:rowOff>0</xdr:rowOff>
    </xdr:from>
    <xdr:to>
      <xdr:col>37</xdr:col>
      <xdr:colOff>0</xdr:colOff>
      <xdr:row>0</xdr:row>
      <xdr:rowOff>0</xdr:rowOff>
    </xdr:to>
    <xdr:sp>
      <xdr:nvSpPr>
        <xdr:cNvPr id="6" name="Line 6"/>
        <xdr:cNvSpPr>
          <a:spLocks/>
        </xdr:cNvSpPr>
      </xdr:nvSpPr>
      <xdr:spPr>
        <a:xfrm>
          <a:off x="206787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7" name="Line 7"/>
        <xdr:cNvSpPr>
          <a:spLocks/>
        </xdr:cNvSpPr>
      </xdr:nvSpPr>
      <xdr:spPr>
        <a:xfrm>
          <a:off x="6143625"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31</xdr:row>
      <xdr:rowOff>0</xdr:rowOff>
    </xdr:from>
    <xdr:to>
      <xdr:col>27</xdr:col>
      <xdr:colOff>0</xdr:colOff>
      <xdr:row>31</xdr:row>
      <xdr:rowOff>0</xdr:rowOff>
    </xdr:to>
    <xdr:sp>
      <xdr:nvSpPr>
        <xdr:cNvPr id="8" name="Line 8"/>
        <xdr:cNvSpPr>
          <a:spLocks/>
        </xdr:cNvSpPr>
      </xdr:nvSpPr>
      <xdr:spPr>
        <a:xfrm>
          <a:off x="12296775"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9" name="Line 9"/>
        <xdr:cNvSpPr>
          <a:spLocks/>
        </xdr:cNvSpPr>
      </xdr:nvSpPr>
      <xdr:spPr>
        <a:xfrm>
          <a:off x="6143625"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0" name="Line 10"/>
        <xdr:cNvSpPr>
          <a:spLocks/>
        </xdr:cNvSpPr>
      </xdr:nvSpPr>
      <xdr:spPr>
        <a:xfrm flipH="1">
          <a:off x="17983200"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1" name="Line 11"/>
        <xdr:cNvSpPr>
          <a:spLocks/>
        </xdr:cNvSpPr>
      </xdr:nvSpPr>
      <xdr:spPr>
        <a:xfrm flipH="1">
          <a:off x="17983200"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2" name="Line 12"/>
        <xdr:cNvSpPr>
          <a:spLocks/>
        </xdr:cNvSpPr>
      </xdr:nvSpPr>
      <xdr:spPr>
        <a:xfrm>
          <a:off x="17983200"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13" name="Line 13"/>
        <xdr:cNvSpPr>
          <a:spLocks/>
        </xdr:cNvSpPr>
      </xdr:nvSpPr>
      <xdr:spPr>
        <a:xfrm>
          <a:off x="6143625"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31</xdr:row>
      <xdr:rowOff>0</xdr:rowOff>
    </xdr:from>
    <xdr:to>
      <xdr:col>27</xdr:col>
      <xdr:colOff>0</xdr:colOff>
      <xdr:row>31</xdr:row>
      <xdr:rowOff>0</xdr:rowOff>
    </xdr:to>
    <xdr:sp>
      <xdr:nvSpPr>
        <xdr:cNvPr id="14" name="Line 14"/>
        <xdr:cNvSpPr>
          <a:spLocks/>
        </xdr:cNvSpPr>
      </xdr:nvSpPr>
      <xdr:spPr>
        <a:xfrm>
          <a:off x="12296775"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15" name="Line 15"/>
        <xdr:cNvSpPr>
          <a:spLocks/>
        </xdr:cNvSpPr>
      </xdr:nvSpPr>
      <xdr:spPr>
        <a:xfrm>
          <a:off x="6143625"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6" name="Line 16"/>
        <xdr:cNvSpPr>
          <a:spLocks/>
        </xdr:cNvSpPr>
      </xdr:nvSpPr>
      <xdr:spPr>
        <a:xfrm flipH="1">
          <a:off x="17983200"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7" name="Line 17"/>
        <xdr:cNvSpPr>
          <a:spLocks/>
        </xdr:cNvSpPr>
      </xdr:nvSpPr>
      <xdr:spPr>
        <a:xfrm flipH="1">
          <a:off x="17983200"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32</xdr:col>
      <xdr:colOff>0</xdr:colOff>
      <xdr:row>31</xdr:row>
      <xdr:rowOff>0</xdr:rowOff>
    </xdr:to>
    <xdr:sp>
      <xdr:nvSpPr>
        <xdr:cNvPr id="18" name="Line 18"/>
        <xdr:cNvSpPr>
          <a:spLocks/>
        </xdr:cNvSpPr>
      </xdr:nvSpPr>
      <xdr:spPr>
        <a:xfrm>
          <a:off x="17983200" y="6438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Line 1"/>
        <xdr:cNvSpPr>
          <a:spLocks/>
        </xdr:cNvSpPr>
      </xdr:nvSpPr>
      <xdr:spPr>
        <a:xfrm>
          <a:off x="12001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27</xdr:col>
      <xdr:colOff>0</xdr:colOff>
      <xdr:row>0</xdr:row>
      <xdr:rowOff>0</xdr:rowOff>
    </xdr:to>
    <xdr:sp>
      <xdr:nvSpPr>
        <xdr:cNvPr id="2" name="Line 2"/>
        <xdr:cNvSpPr>
          <a:spLocks/>
        </xdr:cNvSpPr>
      </xdr:nvSpPr>
      <xdr:spPr>
        <a:xfrm>
          <a:off x="8343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3" name="Line 3"/>
        <xdr:cNvSpPr>
          <a:spLocks/>
        </xdr:cNvSpPr>
      </xdr:nvSpPr>
      <xdr:spPr>
        <a:xfrm>
          <a:off x="12001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0</xdr:colOff>
      <xdr:row>0</xdr:row>
      <xdr:rowOff>0</xdr:rowOff>
    </xdr:to>
    <xdr:sp>
      <xdr:nvSpPr>
        <xdr:cNvPr id="4" name="Line 4"/>
        <xdr:cNvSpPr>
          <a:spLocks/>
        </xdr:cNvSpPr>
      </xdr:nvSpPr>
      <xdr:spPr>
        <a:xfrm flipH="1">
          <a:off x="104394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0</xdr:colOff>
      <xdr:row>0</xdr:row>
      <xdr:rowOff>0</xdr:rowOff>
    </xdr:to>
    <xdr:sp>
      <xdr:nvSpPr>
        <xdr:cNvPr id="5" name="Line 5"/>
        <xdr:cNvSpPr>
          <a:spLocks/>
        </xdr:cNvSpPr>
      </xdr:nvSpPr>
      <xdr:spPr>
        <a:xfrm flipH="1">
          <a:off x="104394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0</xdr:row>
      <xdr:rowOff>0</xdr:rowOff>
    </xdr:from>
    <xdr:to>
      <xdr:col>37</xdr:col>
      <xdr:colOff>0</xdr:colOff>
      <xdr:row>0</xdr:row>
      <xdr:rowOff>0</xdr:rowOff>
    </xdr:to>
    <xdr:sp>
      <xdr:nvSpPr>
        <xdr:cNvPr id="6" name="Line 6"/>
        <xdr:cNvSpPr>
          <a:spLocks/>
        </xdr:cNvSpPr>
      </xdr:nvSpPr>
      <xdr:spPr>
        <a:xfrm>
          <a:off x="131349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7" name="Line 7"/>
        <xdr:cNvSpPr>
          <a:spLocks/>
        </xdr:cNvSpPr>
      </xdr:nvSpPr>
      <xdr:spPr>
        <a:xfrm>
          <a:off x="48768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0</xdr:row>
      <xdr:rowOff>0</xdr:rowOff>
    </xdr:from>
    <xdr:to>
      <xdr:col>34</xdr:col>
      <xdr:colOff>0</xdr:colOff>
      <xdr:row>0</xdr:row>
      <xdr:rowOff>0</xdr:rowOff>
    </xdr:to>
    <xdr:sp>
      <xdr:nvSpPr>
        <xdr:cNvPr id="8" name="Line 8"/>
        <xdr:cNvSpPr>
          <a:spLocks/>
        </xdr:cNvSpPr>
      </xdr:nvSpPr>
      <xdr:spPr>
        <a:xfrm>
          <a:off x="122682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9" name="Line 9"/>
        <xdr:cNvSpPr>
          <a:spLocks/>
        </xdr:cNvSpPr>
      </xdr:nvSpPr>
      <xdr:spPr>
        <a:xfrm>
          <a:off x="48768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0</xdr:row>
      <xdr:rowOff>0</xdr:rowOff>
    </xdr:from>
    <xdr:to>
      <xdr:col>38</xdr:col>
      <xdr:colOff>0</xdr:colOff>
      <xdr:row>0</xdr:row>
      <xdr:rowOff>0</xdr:rowOff>
    </xdr:to>
    <xdr:sp>
      <xdr:nvSpPr>
        <xdr:cNvPr id="10" name="Line 10"/>
        <xdr:cNvSpPr>
          <a:spLocks/>
        </xdr:cNvSpPr>
      </xdr:nvSpPr>
      <xdr:spPr>
        <a:xfrm flipH="1">
          <a:off x="144303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0</xdr:row>
      <xdr:rowOff>0</xdr:rowOff>
    </xdr:from>
    <xdr:to>
      <xdr:col>38</xdr:col>
      <xdr:colOff>0</xdr:colOff>
      <xdr:row>0</xdr:row>
      <xdr:rowOff>0</xdr:rowOff>
    </xdr:to>
    <xdr:sp>
      <xdr:nvSpPr>
        <xdr:cNvPr id="11" name="Line 11"/>
        <xdr:cNvSpPr>
          <a:spLocks/>
        </xdr:cNvSpPr>
      </xdr:nvSpPr>
      <xdr:spPr>
        <a:xfrm flipH="1">
          <a:off x="144303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0</xdr:row>
      <xdr:rowOff>0</xdr:rowOff>
    </xdr:from>
    <xdr:to>
      <xdr:col>44</xdr:col>
      <xdr:colOff>0</xdr:colOff>
      <xdr:row>0</xdr:row>
      <xdr:rowOff>0</xdr:rowOff>
    </xdr:to>
    <xdr:sp>
      <xdr:nvSpPr>
        <xdr:cNvPr id="12" name="Line 12"/>
        <xdr:cNvSpPr>
          <a:spLocks/>
        </xdr:cNvSpPr>
      </xdr:nvSpPr>
      <xdr:spPr>
        <a:xfrm>
          <a:off x="194214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19</xdr:col>
      <xdr:colOff>0</xdr:colOff>
      <xdr:row>0</xdr:row>
      <xdr:rowOff>0</xdr:rowOff>
    </xdr:to>
    <xdr:sp>
      <xdr:nvSpPr>
        <xdr:cNvPr id="13" name="Line 16"/>
        <xdr:cNvSpPr>
          <a:spLocks/>
        </xdr:cNvSpPr>
      </xdr:nvSpPr>
      <xdr:spPr>
        <a:xfrm>
          <a:off x="61722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0</xdr:row>
      <xdr:rowOff>0</xdr:rowOff>
    </xdr:from>
    <xdr:to>
      <xdr:col>36</xdr:col>
      <xdr:colOff>0</xdr:colOff>
      <xdr:row>0</xdr:row>
      <xdr:rowOff>0</xdr:rowOff>
    </xdr:to>
    <xdr:sp>
      <xdr:nvSpPr>
        <xdr:cNvPr id="14" name="Line 17"/>
        <xdr:cNvSpPr>
          <a:spLocks/>
        </xdr:cNvSpPr>
      </xdr:nvSpPr>
      <xdr:spPr>
        <a:xfrm>
          <a:off x="122682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19</xdr:col>
      <xdr:colOff>0</xdr:colOff>
      <xdr:row>0</xdr:row>
      <xdr:rowOff>0</xdr:rowOff>
    </xdr:to>
    <xdr:sp>
      <xdr:nvSpPr>
        <xdr:cNvPr id="15" name="Line 18"/>
        <xdr:cNvSpPr>
          <a:spLocks/>
        </xdr:cNvSpPr>
      </xdr:nvSpPr>
      <xdr:spPr>
        <a:xfrm>
          <a:off x="61722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0</xdr:row>
      <xdr:rowOff>0</xdr:rowOff>
    </xdr:from>
    <xdr:to>
      <xdr:col>41</xdr:col>
      <xdr:colOff>0</xdr:colOff>
      <xdr:row>0</xdr:row>
      <xdr:rowOff>0</xdr:rowOff>
    </xdr:to>
    <xdr:sp>
      <xdr:nvSpPr>
        <xdr:cNvPr id="16" name="Line 19"/>
        <xdr:cNvSpPr>
          <a:spLocks/>
        </xdr:cNvSpPr>
      </xdr:nvSpPr>
      <xdr:spPr>
        <a:xfrm flipH="1">
          <a:off x="178879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0</xdr:row>
      <xdr:rowOff>0</xdr:rowOff>
    </xdr:from>
    <xdr:to>
      <xdr:col>41</xdr:col>
      <xdr:colOff>0</xdr:colOff>
      <xdr:row>0</xdr:row>
      <xdr:rowOff>0</xdr:rowOff>
    </xdr:to>
    <xdr:sp>
      <xdr:nvSpPr>
        <xdr:cNvPr id="17" name="Line 20"/>
        <xdr:cNvSpPr>
          <a:spLocks/>
        </xdr:cNvSpPr>
      </xdr:nvSpPr>
      <xdr:spPr>
        <a:xfrm flipH="1">
          <a:off x="178879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0</xdr:row>
      <xdr:rowOff>0</xdr:rowOff>
    </xdr:from>
    <xdr:to>
      <xdr:col>47</xdr:col>
      <xdr:colOff>0</xdr:colOff>
      <xdr:row>0</xdr:row>
      <xdr:rowOff>0</xdr:rowOff>
    </xdr:to>
    <xdr:sp>
      <xdr:nvSpPr>
        <xdr:cNvPr id="18" name="Line 21"/>
        <xdr:cNvSpPr>
          <a:spLocks/>
        </xdr:cNvSpPr>
      </xdr:nvSpPr>
      <xdr:spPr>
        <a:xfrm>
          <a:off x="215646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31</xdr:row>
      <xdr:rowOff>0</xdr:rowOff>
    </xdr:from>
    <xdr:to>
      <xdr:col>19</xdr:col>
      <xdr:colOff>0</xdr:colOff>
      <xdr:row>31</xdr:row>
      <xdr:rowOff>0</xdr:rowOff>
    </xdr:to>
    <xdr:sp>
      <xdr:nvSpPr>
        <xdr:cNvPr id="19" name="Line 22"/>
        <xdr:cNvSpPr>
          <a:spLocks/>
        </xdr:cNvSpPr>
      </xdr:nvSpPr>
      <xdr:spPr>
        <a:xfrm>
          <a:off x="617220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31</xdr:row>
      <xdr:rowOff>0</xdr:rowOff>
    </xdr:from>
    <xdr:to>
      <xdr:col>36</xdr:col>
      <xdr:colOff>0</xdr:colOff>
      <xdr:row>31</xdr:row>
      <xdr:rowOff>0</xdr:rowOff>
    </xdr:to>
    <xdr:sp>
      <xdr:nvSpPr>
        <xdr:cNvPr id="20" name="Line 23"/>
        <xdr:cNvSpPr>
          <a:spLocks/>
        </xdr:cNvSpPr>
      </xdr:nvSpPr>
      <xdr:spPr>
        <a:xfrm>
          <a:off x="1226820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31</xdr:row>
      <xdr:rowOff>0</xdr:rowOff>
    </xdr:from>
    <xdr:to>
      <xdr:col>19</xdr:col>
      <xdr:colOff>0</xdr:colOff>
      <xdr:row>31</xdr:row>
      <xdr:rowOff>0</xdr:rowOff>
    </xdr:to>
    <xdr:sp>
      <xdr:nvSpPr>
        <xdr:cNvPr id="21" name="Line 24"/>
        <xdr:cNvSpPr>
          <a:spLocks/>
        </xdr:cNvSpPr>
      </xdr:nvSpPr>
      <xdr:spPr>
        <a:xfrm>
          <a:off x="617220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31</xdr:row>
      <xdr:rowOff>0</xdr:rowOff>
    </xdr:from>
    <xdr:to>
      <xdr:col>41</xdr:col>
      <xdr:colOff>0</xdr:colOff>
      <xdr:row>31</xdr:row>
      <xdr:rowOff>0</xdr:rowOff>
    </xdr:to>
    <xdr:sp>
      <xdr:nvSpPr>
        <xdr:cNvPr id="22" name="Line 25"/>
        <xdr:cNvSpPr>
          <a:spLocks/>
        </xdr:cNvSpPr>
      </xdr:nvSpPr>
      <xdr:spPr>
        <a:xfrm flipH="1">
          <a:off x="1788795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31</xdr:row>
      <xdr:rowOff>0</xdr:rowOff>
    </xdr:from>
    <xdr:to>
      <xdr:col>41</xdr:col>
      <xdr:colOff>0</xdr:colOff>
      <xdr:row>31</xdr:row>
      <xdr:rowOff>0</xdr:rowOff>
    </xdr:to>
    <xdr:sp>
      <xdr:nvSpPr>
        <xdr:cNvPr id="23" name="Line 26"/>
        <xdr:cNvSpPr>
          <a:spLocks/>
        </xdr:cNvSpPr>
      </xdr:nvSpPr>
      <xdr:spPr>
        <a:xfrm flipH="1">
          <a:off x="1788795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31</xdr:row>
      <xdr:rowOff>0</xdr:rowOff>
    </xdr:from>
    <xdr:to>
      <xdr:col>41</xdr:col>
      <xdr:colOff>0</xdr:colOff>
      <xdr:row>31</xdr:row>
      <xdr:rowOff>0</xdr:rowOff>
    </xdr:to>
    <xdr:sp>
      <xdr:nvSpPr>
        <xdr:cNvPr id="24" name="Line 27"/>
        <xdr:cNvSpPr>
          <a:spLocks/>
        </xdr:cNvSpPr>
      </xdr:nvSpPr>
      <xdr:spPr>
        <a:xfrm>
          <a:off x="1788795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0</xdr:rowOff>
    </xdr:from>
    <xdr:to>
      <xdr:col>4</xdr:col>
      <xdr:colOff>0</xdr:colOff>
      <xdr:row>29</xdr:row>
      <xdr:rowOff>0</xdr:rowOff>
    </xdr:to>
    <xdr:sp>
      <xdr:nvSpPr>
        <xdr:cNvPr id="1" name="Line 1"/>
        <xdr:cNvSpPr>
          <a:spLocks/>
        </xdr:cNvSpPr>
      </xdr:nvSpPr>
      <xdr:spPr>
        <a:xfrm>
          <a:off x="4676775" y="563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2" name="Line 2"/>
        <xdr:cNvSpPr>
          <a:spLocks/>
        </xdr:cNvSpPr>
      </xdr:nvSpPr>
      <xdr:spPr>
        <a:xfrm>
          <a:off x="11306175" y="563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0</xdr:rowOff>
    </xdr:from>
    <xdr:to>
      <xdr:col>4</xdr:col>
      <xdr:colOff>0</xdr:colOff>
      <xdr:row>29</xdr:row>
      <xdr:rowOff>0</xdr:rowOff>
    </xdr:to>
    <xdr:sp>
      <xdr:nvSpPr>
        <xdr:cNvPr id="3" name="Line 3"/>
        <xdr:cNvSpPr>
          <a:spLocks/>
        </xdr:cNvSpPr>
      </xdr:nvSpPr>
      <xdr:spPr>
        <a:xfrm>
          <a:off x="4676775" y="563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18</xdr:col>
      <xdr:colOff>0</xdr:colOff>
      <xdr:row>29</xdr:row>
      <xdr:rowOff>0</xdr:rowOff>
    </xdr:to>
    <xdr:sp>
      <xdr:nvSpPr>
        <xdr:cNvPr id="4" name="Line 4"/>
        <xdr:cNvSpPr>
          <a:spLocks/>
        </xdr:cNvSpPr>
      </xdr:nvSpPr>
      <xdr:spPr>
        <a:xfrm flipH="1">
          <a:off x="19935825" y="563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18</xdr:col>
      <xdr:colOff>0</xdr:colOff>
      <xdr:row>29</xdr:row>
      <xdr:rowOff>0</xdr:rowOff>
    </xdr:to>
    <xdr:sp>
      <xdr:nvSpPr>
        <xdr:cNvPr id="5" name="Line 5"/>
        <xdr:cNvSpPr>
          <a:spLocks/>
        </xdr:cNvSpPr>
      </xdr:nvSpPr>
      <xdr:spPr>
        <a:xfrm flipH="1">
          <a:off x="19935825" y="563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18</xdr:col>
      <xdr:colOff>0</xdr:colOff>
      <xdr:row>29</xdr:row>
      <xdr:rowOff>0</xdr:rowOff>
    </xdr:to>
    <xdr:sp>
      <xdr:nvSpPr>
        <xdr:cNvPr id="6" name="Line 6"/>
        <xdr:cNvSpPr>
          <a:spLocks/>
        </xdr:cNvSpPr>
      </xdr:nvSpPr>
      <xdr:spPr>
        <a:xfrm>
          <a:off x="19935825" y="563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Line 22"/>
        <xdr:cNvSpPr>
          <a:spLocks/>
        </xdr:cNvSpPr>
      </xdr:nvSpPr>
      <xdr:spPr>
        <a:xfrm>
          <a:off x="46767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8" name="Line 23"/>
        <xdr:cNvSpPr>
          <a:spLocks/>
        </xdr:cNvSpPr>
      </xdr:nvSpPr>
      <xdr:spPr>
        <a:xfrm>
          <a:off x="113061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9" name="Line 24"/>
        <xdr:cNvSpPr>
          <a:spLocks/>
        </xdr:cNvSpPr>
      </xdr:nvSpPr>
      <xdr:spPr>
        <a:xfrm>
          <a:off x="46767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10" name="Line 25"/>
        <xdr:cNvSpPr>
          <a:spLocks/>
        </xdr:cNvSpPr>
      </xdr:nvSpPr>
      <xdr:spPr>
        <a:xfrm flipH="1">
          <a:off x="199358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11" name="Line 26"/>
        <xdr:cNvSpPr>
          <a:spLocks/>
        </xdr:cNvSpPr>
      </xdr:nvSpPr>
      <xdr:spPr>
        <a:xfrm flipH="1">
          <a:off x="199358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12" name="Line 27"/>
        <xdr:cNvSpPr>
          <a:spLocks/>
        </xdr:cNvSpPr>
      </xdr:nvSpPr>
      <xdr:spPr>
        <a:xfrm>
          <a:off x="199358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13" name="Line 28"/>
        <xdr:cNvSpPr>
          <a:spLocks/>
        </xdr:cNvSpPr>
      </xdr:nvSpPr>
      <xdr:spPr>
        <a:xfrm>
          <a:off x="467677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14" name="Line 29"/>
        <xdr:cNvSpPr>
          <a:spLocks/>
        </xdr:cNvSpPr>
      </xdr:nvSpPr>
      <xdr:spPr>
        <a:xfrm>
          <a:off x="1130617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15" name="Line 30"/>
        <xdr:cNvSpPr>
          <a:spLocks/>
        </xdr:cNvSpPr>
      </xdr:nvSpPr>
      <xdr:spPr>
        <a:xfrm>
          <a:off x="467677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16" name="Line 31"/>
        <xdr:cNvSpPr>
          <a:spLocks/>
        </xdr:cNvSpPr>
      </xdr:nvSpPr>
      <xdr:spPr>
        <a:xfrm flipH="1">
          <a:off x="1993582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17" name="Line 32"/>
        <xdr:cNvSpPr>
          <a:spLocks/>
        </xdr:cNvSpPr>
      </xdr:nvSpPr>
      <xdr:spPr>
        <a:xfrm flipH="1">
          <a:off x="1993582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18" name="Line 33"/>
        <xdr:cNvSpPr>
          <a:spLocks/>
        </xdr:cNvSpPr>
      </xdr:nvSpPr>
      <xdr:spPr>
        <a:xfrm>
          <a:off x="1993582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19" name="Line 34"/>
        <xdr:cNvSpPr>
          <a:spLocks/>
        </xdr:cNvSpPr>
      </xdr:nvSpPr>
      <xdr:spPr>
        <a:xfrm>
          <a:off x="467677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20" name="Line 35"/>
        <xdr:cNvSpPr>
          <a:spLocks/>
        </xdr:cNvSpPr>
      </xdr:nvSpPr>
      <xdr:spPr>
        <a:xfrm>
          <a:off x="1130617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21" name="Line 36"/>
        <xdr:cNvSpPr>
          <a:spLocks/>
        </xdr:cNvSpPr>
      </xdr:nvSpPr>
      <xdr:spPr>
        <a:xfrm>
          <a:off x="467677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22" name="Line 37"/>
        <xdr:cNvSpPr>
          <a:spLocks/>
        </xdr:cNvSpPr>
      </xdr:nvSpPr>
      <xdr:spPr>
        <a:xfrm flipH="1">
          <a:off x="1993582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23" name="Line 38"/>
        <xdr:cNvSpPr>
          <a:spLocks/>
        </xdr:cNvSpPr>
      </xdr:nvSpPr>
      <xdr:spPr>
        <a:xfrm flipH="1">
          <a:off x="1993582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24" name="Line 39"/>
        <xdr:cNvSpPr>
          <a:spLocks/>
        </xdr:cNvSpPr>
      </xdr:nvSpPr>
      <xdr:spPr>
        <a:xfrm>
          <a:off x="19935825"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0</xdr:rowOff>
    </xdr:from>
    <xdr:to>
      <xdr:col>4</xdr:col>
      <xdr:colOff>0</xdr:colOff>
      <xdr:row>29</xdr:row>
      <xdr:rowOff>0</xdr:rowOff>
    </xdr:to>
    <xdr:sp>
      <xdr:nvSpPr>
        <xdr:cNvPr id="1" name="Line 1"/>
        <xdr:cNvSpPr>
          <a:spLocks/>
        </xdr:cNvSpPr>
      </xdr:nvSpPr>
      <xdr:spPr>
        <a:xfrm>
          <a:off x="4676775" y="613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2" name="Line 2"/>
        <xdr:cNvSpPr>
          <a:spLocks/>
        </xdr:cNvSpPr>
      </xdr:nvSpPr>
      <xdr:spPr>
        <a:xfrm>
          <a:off x="11677650" y="613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0</xdr:rowOff>
    </xdr:from>
    <xdr:to>
      <xdr:col>4</xdr:col>
      <xdr:colOff>0</xdr:colOff>
      <xdr:row>29</xdr:row>
      <xdr:rowOff>0</xdr:rowOff>
    </xdr:to>
    <xdr:sp>
      <xdr:nvSpPr>
        <xdr:cNvPr id="3" name="Line 3"/>
        <xdr:cNvSpPr>
          <a:spLocks/>
        </xdr:cNvSpPr>
      </xdr:nvSpPr>
      <xdr:spPr>
        <a:xfrm>
          <a:off x="4676775" y="613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18</xdr:col>
      <xdr:colOff>0</xdr:colOff>
      <xdr:row>29</xdr:row>
      <xdr:rowOff>0</xdr:rowOff>
    </xdr:to>
    <xdr:sp>
      <xdr:nvSpPr>
        <xdr:cNvPr id="4" name="Line 4"/>
        <xdr:cNvSpPr>
          <a:spLocks/>
        </xdr:cNvSpPr>
      </xdr:nvSpPr>
      <xdr:spPr>
        <a:xfrm flipH="1">
          <a:off x="19964400" y="613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18</xdr:col>
      <xdr:colOff>0</xdr:colOff>
      <xdr:row>29</xdr:row>
      <xdr:rowOff>0</xdr:rowOff>
    </xdr:to>
    <xdr:sp>
      <xdr:nvSpPr>
        <xdr:cNvPr id="5" name="Line 5"/>
        <xdr:cNvSpPr>
          <a:spLocks/>
        </xdr:cNvSpPr>
      </xdr:nvSpPr>
      <xdr:spPr>
        <a:xfrm flipH="1">
          <a:off x="19964400" y="613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18</xdr:col>
      <xdr:colOff>0</xdr:colOff>
      <xdr:row>29</xdr:row>
      <xdr:rowOff>0</xdr:rowOff>
    </xdr:to>
    <xdr:sp>
      <xdr:nvSpPr>
        <xdr:cNvPr id="6" name="Line 6"/>
        <xdr:cNvSpPr>
          <a:spLocks/>
        </xdr:cNvSpPr>
      </xdr:nvSpPr>
      <xdr:spPr>
        <a:xfrm>
          <a:off x="19964400" y="6134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Line 7"/>
        <xdr:cNvSpPr>
          <a:spLocks/>
        </xdr:cNvSpPr>
      </xdr:nvSpPr>
      <xdr:spPr>
        <a:xfrm>
          <a:off x="46767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8" name="Line 8"/>
        <xdr:cNvSpPr>
          <a:spLocks/>
        </xdr:cNvSpPr>
      </xdr:nvSpPr>
      <xdr:spPr>
        <a:xfrm>
          <a:off x="116776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9" name="Line 9"/>
        <xdr:cNvSpPr>
          <a:spLocks/>
        </xdr:cNvSpPr>
      </xdr:nvSpPr>
      <xdr:spPr>
        <a:xfrm>
          <a:off x="46767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10" name="Line 10"/>
        <xdr:cNvSpPr>
          <a:spLocks/>
        </xdr:cNvSpPr>
      </xdr:nvSpPr>
      <xdr:spPr>
        <a:xfrm flipH="1">
          <a:off x="199644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11" name="Line 11"/>
        <xdr:cNvSpPr>
          <a:spLocks/>
        </xdr:cNvSpPr>
      </xdr:nvSpPr>
      <xdr:spPr>
        <a:xfrm flipH="1">
          <a:off x="199644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12" name="Line 12"/>
        <xdr:cNvSpPr>
          <a:spLocks/>
        </xdr:cNvSpPr>
      </xdr:nvSpPr>
      <xdr:spPr>
        <a:xfrm>
          <a:off x="199644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13" name="Line 13"/>
        <xdr:cNvSpPr>
          <a:spLocks/>
        </xdr:cNvSpPr>
      </xdr:nvSpPr>
      <xdr:spPr>
        <a:xfrm>
          <a:off x="4676775"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14" name="Line 14"/>
        <xdr:cNvSpPr>
          <a:spLocks/>
        </xdr:cNvSpPr>
      </xdr:nvSpPr>
      <xdr:spPr>
        <a:xfrm>
          <a:off x="11677650"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15" name="Line 15"/>
        <xdr:cNvSpPr>
          <a:spLocks/>
        </xdr:cNvSpPr>
      </xdr:nvSpPr>
      <xdr:spPr>
        <a:xfrm>
          <a:off x="4676775"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16" name="Line 16"/>
        <xdr:cNvSpPr>
          <a:spLocks/>
        </xdr:cNvSpPr>
      </xdr:nvSpPr>
      <xdr:spPr>
        <a:xfrm flipH="1">
          <a:off x="19964400"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17" name="Line 17"/>
        <xdr:cNvSpPr>
          <a:spLocks/>
        </xdr:cNvSpPr>
      </xdr:nvSpPr>
      <xdr:spPr>
        <a:xfrm flipH="1">
          <a:off x="19964400"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18" name="Line 18"/>
        <xdr:cNvSpPr>
          <a:spLocks/>
        </xdr:cNvSpPr>
      </xdr:nvSpPr>
      <xdr:spPr>
        <a:xfrm>
          <a:off x="19964400"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19" name="Line 19"/>
        <xdr:cNvSpPr>
          <a:spLocks/>
        </xdr:cNvSpPr>
      </xdr:nvSpPr>
      <xdr:spPr>
        <a:xfrm>
          <a:off x="4676775"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31</xdr:row>
      <xdr:rowOff>0</xdr:rowOff>
    </xdr:from>
    <xdr:to>
      <xdr:col>10</xdr:col>
      <xdr:colOff>0</xdr:colOff>
      <xdr:row>31</xdr:row>
      <xdr:rowOff>0</xdr:rowOff>
    </xdr:to>
    <xdr:sp>
      <xdr:nvSpPr>
        <xdr:cNvPr id="20" name="Line 20"/>
        <xdr:cNvSpPr>
          <a:spLocks/>
        </xdr:cNvSpPr>
      </xdr:nvSpPr>
      <xdr:spPr>
        <a:xfrm>
          <a:off x="11677650"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21" name="Line 21"/>
        <xdr:cNvSpPr>
          <a:spLocks/>
        </xdr:cNvSpPr>
      </xdr:nvSpPr>
      <xdr:spPr>
        <a:xfrm>
          <a:off x="4676775"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22" name="Line 22"/>
        <xdr:cNvSpPr>
          <a:spLocks/>
        </xdr:cNvSpPr>
      </xdr:nvSpPr>
      <xdr:spPr>
        <a:xfrm flipH="1">
          <a:off x="19964400"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23" name="Line 23"/>
        <xdr:cNvSpPr>
          <a:spLocks/>
        </xdr:cNvSpPr>
      </xdr:nvSpPr>
      <xdr:spPr>
        <a:xfrm flipH="1">
          <a:off x="19964400"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18</xdr:col>
      <xdr:colOff>0</xdr:colOff>
      <xdr:row>31</xdr:row>
      <xdr:rowOff>0</xdr:rowOff>
    </xdr:to>
    <xdr:sp>
      <xdr:nvSpPr>
        <xdr:cNvPr id="24" name="Line 24"/>
        <xdr:cNvSpPr>
          <a:spLocks/>
        </xdr:cNvSpPr>
      </xdr:nvSpPr>
      <xdr:spPr>
        <a:xfrm>
          <a:off x="19964400" y="6496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30</xdr:row>
      <xdr:rowOff>0</xdr:rowOff>
    </xdr:from>
    <xdr:to>
      <xdr:col>4</xdr:col>
      <xdr:colOff>0</xdr:colOff>
      <xdr:row>30</xdr:row>
      <xdr:rowOff>0</xdr:rowOff>
    </xdr:to>
    <xdr:sp>
      <xdr:nvSpPr>
        <xdr:cNvPr id="1" name="Line 1"/>
        <xdr:cNvSpPr>
          <a:spLocks/>
        </xdr:cNvSpPr>
      </xdr:nvSpPr>
      <xdr:spPr>
        <a:xfrm>
          <a:off x="4533900" y="6172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30</xdr:row>
      <xdr:rowOff>0</xdr:rowOff>
    </xdr:from>
    <xdr:to>
      <xdr:col>18</xdr:col>
      <xdr:colOff>0</xdr:colOff>
      <xdr:row>30</xdr:row>
      <xdr:rowOff>0</xdr:rowOff>
    </xdr:to>
    <xdr:sp>
      <xdr:nvSpPr>
        <xdr:cNvPr id="2" name="Line 2"/>
        <xdr:cNvSpPr>
          <a:spLocks/>
        </xdr:cNvSpPr>
      </xdr:nvSpPr>
      <xdr:spPr>
        <a:xfrm>
          <a:off x="12792075" y="6172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xdr:row>
      <xdr:rowOff>0</xdr:rowOff>
    </xdr:from>
    <xdr:to>
      <xdr:col>4</xdr:col>
      <xdr:colOff>0</xdr:colOff>
      <xdr:row>30</xdr:row>
      <xdr:rowOff>0</xdr:rowOff>
    </xdr:to>
    <xdr:sp>
      <xdr:nvSpPr>
        <xdr:cNvPr id="3" name="Line 3"/>
        <xdr:cNvSpPr>
          <a:spLocks/>
        </xdr:cNvSpPr>
      </xdr:nvSpPr>
      <xdr:spPr>
        <a:xfrm>
          <a:off x="4533900" y="6172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xdr:row>
      <xdr:rowOff>0</xdr:rowOff>
    </xdr:from>
    <xdr:to>
      <xdr:col>22</xdr:col>
      <xdr:colOff>0</xdr:colOff>
      <xdr:row>30</xdr:row>
      <xdr:rowOff>0</xdr:rowOff>
    </xdr:to>
    <xdr:sp>
      <xdr:nvSpPr>
        <xdr:cNvPr id="4" name="Line 4"/>
        <xdr:cNvSpPr>
          <a:spLocks/>
        </xdr:cNvSpPr>
      </xdr:nvSpPr>
      <xdr:spPr>
        <a:xfrm flipH="1">
          <a:off x="17240250" y="6172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xdr:row>
      <xdr:rowOff>0</xdr:rowOff>
    </xdr:from>
    <xdr:to>
      <xdr:col>22</xdr:col>
      <xdr:colOff>0</xdr:colOff>
      <xdr:row>30</xdr:row>
      <xdr:rowOff>0</xdr:rowOff>
    </xdr:to>
    <xdr:sp>
      <xdr:nvSpPr>
        <xdr:cNvPr id="5" name="Line 5"/>
        <xdr:cNvSpPr>
          <a:spLocks/>
        </xdr:cNvSpPr>
      </xdr:nvSpPr>
      <xdr:spPr>
        <a:xfrm flipH="1">
          <a:off x="17240250" y="6172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xdr:row>
      <xdr:rowOff>0</xdr:rowOff>
    </xdr:from>
    <xdr:to>
      <xdr:col>22</xdr:col>
      <xdr:colOff>0</xdr:colOff>
      <xdr:row>30</xdr:row>
      <xdr:rowOff>0</xdr:rowOff>
    </xdr:to>
    <xdr:sp>
      <xdr:nvSpPr>
        <xdr:cNvPr id="6" name="Line 6"/>
        <xdr:cNvSpPr>
          <a:spLocks/>
        </xdr:cNvSpPr>
      </xdr:nvSpPr>
      <xdr:spPr>
        <a:xfrm>
          <a:off x="17240250" y="6172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xdr:row>
      <xdr:rowOff>0</xdr:rowOff>
    </xdr:from>
    <xdr:to>
      <xdr:col>4</xdr:col>
      <xdr:colOff>0</xdr:colOff>
      <xdr:row>32</xdr:row>
      <xdr:rowOff>0</xdr:rowOff>
    </xdr:to>
    <xdr:sp>
      <xdr:nvSpPr>
        <xdr:cNvPr id="7" name="Line 8"/>
        <xdr:cNvSpPr>
          <a:spLocks/>
        </xdr:cNvSpPr>
      </xdr:nvSpPr>
      <xdr:spPr>
        <a:xfrm>
          <a:off x="453390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32</xdr:row>
      <xdr:rowOff>0</xdr:rowOff>
    </xdr:from>
    <xdr:to>
      <xdr:col>18</xdr:col>
      <xdr:colOff>0</xdr:colOff>
      <xdr:row>32</xdr:row>
      <xdr:rowOff>0</xdr:rowOff>
    </xdr:to>
    <xdr:sp>
      <xdr:nvSpPr>
        <xdr:cNvPr id="8" name="Line 9"/>
        <xdr:cNvSpPr>
          <a:spLocks/>
        </xdr:cNvSpPr>
      </xdr:nvSpPr>
      <xdr:spPr>
        <a:xfrm>
          <a:off x="12792075"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xdr:row>
      <xdr:rowOff>0</xdr:rowOff>
    </xdr:from>
    <xdr:to>
      <xdr:col>4</xdr:col>
      <xdr:colOff>0</xdr:colOff>
      <xdr:row>32</xdr:row>
      <xdr:rowOff>0</xdr:rowOff>
    </xdr:to>
    <xdr:sp>
      <xdr:nvSpPr>
        <xdr:cNvPr id="9" name="Line 10"/>
        <xdr:cNvSpPr>
          <a:spLocks/>
        </xdr:cNvSpPr>
      </xdr:nvSpPr>
      <xdr:spPr>
        <a:xfrm>
          <a:off x="453390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xdr:row>
      <xdr:rowOff>0</xdr:rowOff>
    </xdr:from>
    <xdr:to>
      <xdr:col>22</xdr:col>
      <xdr:colOff>0</xdr:colOff>
      <xdr:row>32</xdr:row>
      <xdr:rowOff>0</xdr:rowOff>
    </xdr:to>
    <xdr:sp>
      <xdr:nvSpPr>
        <xdr:cNvPr id="10" name="Line 11"/>
        <xdr:cNvSpPr>
          <a:spLocks/>
        </xdr:cNvSpPr>
      </xdr:nvSpPr>
      <xdr:spPr>
        <a:xfrm flipH="1">
          <a:off x="1724025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xdr:row>
      <xdr:rowOff>0</xdr:rowOff>
    </xdr:from>
    <xdr:to>
      <xdr:col>22</xdr:col>
      <xdr:colOff>0</xdr:colOff>
      <xdr:row>32</xdr:row>
      <xdr:rowOff>0</xdr:rowOff>
    </xdr:to>
    <xdr:sp>
      <xdr:nvSpPr>
        <xdr:cNvPr id="11" name="Line 12"/>
        <xdr:cNvSpPr>
          <a:spLocks/>
        </xdr:cNvSpPr>
      </xdr:nvSpPr>
      <xdr:spPr>
        <a:xfrm flipH="1">
          <a:off x="1724025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xdr:row>
      <xdr:rowOff>0</xdr:rowOff>
    </xdr:from>
    <xdr:to>
      <xdr:col>22</xdr:col>
      <xdr:colOff>0</xdr:colOff>
      <xdr:row>32</xdr:row>
      <xdr:rowOff>0</xdr:rowOff>
    </xdr:to>
    <xdr:sp>
      <xdr:nvSpPr>
        <xdr:cNvPr id="12" name="Line 13"/>
        <xdr:cNvSpPr>
          <a:spLocks/>
        </xdr:cNvSpPr>
      </xdr:nvSpPr>
      <xdr:spPr>
        <a:xfrm>
          <a:off x="17240250" y="6534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29</xdr:row>
      <xdr:rowOff>0</xdr:rowOff>
    </xdr:from>
    <xdr:to>
      <xdr:col>16</xdr:col>
      <xdr:colOff>0</xdr:colOff>
      <xdr:row>29</xdr:row>
      <xdr:rowOff>0</xdr:rowOff>
    </xdr:to>
    <xdr:sp>
      <xdr:nvSpPr>
        <xdr:cNvPr id="1" name="Line 1"/>
        <xdr:cNvSpPr>
          <a:spLocks/>
        </xdr:cNvSpPr>
      </xdr:nvSpPr>
      <xdr:spPr>
        <a:xfrm>
          <a:off x="13249275" y="576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sp>
      <xdr:nvSpPr>
        <xdr:cNvPr id="2" name="Line 2"/>
        <xdr:cNvSpPr>
          <a:spLocks/>
        </xdr:cNvSpPr>
      </xdr:nvSpPr>
      <xdr:spPr>
        <a:xfrm>
          <a:off x="13249275" y="576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sp>
      <xdr:nvSpPr>
        <xdr:cNvPr id="3" name="Line 3"/>
        <xdr:cNvSpPr>
          <a:spLocks/>
        </xdr:cNvSpPr>
      </xdr:nvSpPr>
      <xdr:spPr>
        <a:xfrm>
          <a:off x="13249275" y="576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sp>
      <xdr:nvSpPr>
        <xdr:cNvPr id="4" name="Line 4"/>
        <xdr:cNvSpPr>
          <a:spLocks/>
        </xdr:cNvSpPr>
      </xdr:nvSpPr>
      <xdr:spPr>
        <a:xfrm flipH="1">
          <a:off x="13249275" y="576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sp>
      <xdr:nvSpPr>
        <xdr:cNvPr id="5" name="Line 5"/>
        <xdr:cNvSpPr>
          <a:spLocks/>
        </xdr:cNvSpPr>
      </xdr:nvSpPr>
      <xdr:spPr>
        <a:xfrm flipH="1">
          <a:off x="13249275" y="576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sp>
      <xdr:nvSpPr>
        <xdr:cNvPr id="6" name="Line 6"/>
        <xdr:cNvSpPr>
          <a:spLocks/>
        </xdr:cNvSpPr>
      </xdr:nvSpPr>
      <xdr:spPr>
        <a:xfrm>
          <a:off x="13249275" y="576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31</xdr:row>
      <xdr:rowOff>0</xdr:rowOff>
    </xdr:from>
    <xdr:to>
      <xdr:col>19</xdr:col>
      <xdr:colOff>0</xdr:colOff>
      <xdr:row>31</xdr:row>
      <xdr:rowOff>0</xdr:rowOff>
    </xdr:to>
    <xdr:sp>
      <xdr:nvSpPr>
        <xdr:cNvPr id="1" name="Line 1"/>
        <xdr:cNvSpPr>
          <a:spLocks/>
        </xdr:cNvSpPr>
      </xdr:nvSpPr>
      <xdr:spPr>
        <a:xfrm>
          <a:off x="5524500" y="770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31</xdr:row>
      <xdr:rowOff>0</xdr:rowOff>
    </xdr:from>
    <xdr:to>
      <xdr:col>43</xdr:col>
      <xdr:colOff>0</xdr:colOff>
      <xdr:row>31</xdr:row>
      <xdr:rowOff>0</xdr:rowOff>
    </xdr:to>
    <xdr:sp>
      <xdr:nvSpPr>
        <xdr:cNvPr id="2" name="Line 2"/>
        <xdr:cNvSpPr>
          <a:spLocks/>
        </xdr:cNvSpPr>
      </xdr:nvSpPr>
      <xdr:spPr>
        <a:xfrm>
          <a:off x="18697575" y="770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31</xdr:row>
      <xdr:rowOff>0</xdr:rowOff>
    </xdr:from>
    <xdr:to>
      <xdr:col>19</xdr:col>
      <xdr:colOff>0</xdr:colOff>
      <xdr:row>31</xdr:row>
      <xdr:rowOff>0</xdr:rowOff>
    </xdr:to>
    <xdr:sp>
      <xdr:nvSpPr>
        <xdr:cNvPr id="3" name="Line 3"/>
        <xdr:cNvSpPr>
          <a:spLocks/>
        </xdr:cNvSpPr>
      </xdr:nvSpPr>
      <xdr:spPr>
        <a:xfrm>
          <a:off x="5524500" y="770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31</xdr:row>
      <xdr:rowOff>0</xdr:rowOff>
    </xdr:from>
    <xdr:to>
      <xdr:col>48</xdr:col>
      <xdr:colOff>0</xdr:colOff>
      <xdr:row>31</xdr:row>
      <xdr:rowOff>0</xdr:rowOff>
    </xdr:to>
    <xdr:sp>
      <xdr:nvSpPr>
        <xdr:cNvPr id="4" name="Line 4"/>
        <xdr:cNvSpPr>
          <a:spLocks/>
        </xdr:cNvSpPr>
      </xdr:nvSpPr>
      <xdr:spPr>
        <a:xfrm flipH="1">
          <a:off x="20097750" y="770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31</xdr:row>
      <xdr:rowOff>0</xdr:rowOff>
    </xdr:from>
    <xdr:to>
      <xdr:col>48</xdr:col>
      <xdr:colOff>0</xdr:colOff>
      <xdr:row>31</xdr:row>
      <xdr:rowOff>0</xdr:rowOff>
    </xdr:to>
    <xdr:sp>
      <xdr:nvSpPr>
        <xdr:cNvPr id="5" name="Line 5"/>
        <xdr:cNvSpPr>
          <a:spLocks/>
        </xdr:cNvSpPr>
      </xdr:nvSpPr>
      <xdr:spPr>
        <a:xfrm flipH="1">
          <a:off x="20097750" y="770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31</xdr:row>
      <xdr:rowOff>0</xdr:rowOff>
    </xdr:from>
    <xdr:to>
      <xdr:col>48</xdr:col>
      <xdr:colOff>0</xdr:colOff>
      <xdr:row>31</xdr:row>
      <xdr:rowOff>0</xdr:rowOff>
    </xdr:to>
    <xdr:sp>
      <xdr:nvSpPr>
        <xdr:cNvPr id="6" name="Line 6"/>
        <xdr:cNvSpPr>
          <a:spLocks/>
        </xdr:cNvSpPr>
      </xdr:nvSpPr>
      <xdr:spPr>
        <a:xfrm>
          <a:off x="20097750" y="770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31</xdr:row>
      <xdr:rowOff>0</xdr:rowOff>
    </xdr:from>
    <xdr:to>
      <xdr:col>49</xdr:col>
      <xdr:colOff>0</xdr:colOff>
      <xdr:row>31</xdr:row>
      <xdr:rowOff>0</xdr:rowOff>
    </xdr:to>
    <xdr:sp>
      <xdr:nvSpPr>
        <xdr:cNvPr id="7" name="Line 7"/>
        <xdr:cNvSpPr>
          <a:spLocks/>
        </xdr:cNvSpPr>
      </xdr:nvSpPr>
      <xdr:spPr>
        <a:xfrm>
          <a:off x="20202525" y="770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31</xdr:row>
      <xdr:rowOff>0</xdr:rowOff>
    </xdr:from>
    <xdr:to>
      <xdr:col>49</xdr:col>
      <xdr:colOff>0</xdr:colOff>
      <xdr:row>31</xdr:row>
      <xdr:rowOff>0</xdr:rowOff>
    </xdr:to>
    <xdr:sp>
      <xdr:nvSpPr>
        <xdr:cNvPr id="8" name="Line 8"/>
        <xdr:cNvSpPr>
          <a:spLocks/>
        </xdr:cNvSpPr>
      </xdr:nvSpPr>
      <xdr:spPr>
        <a:xfrm>
          <a:off x="20202525" y="7705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6"/>
  <dimension ref="A1:BA65"/>
  <sheetViews>
    <sheetView view="pageBreakPreview" zoomScaleSheetLayoutView="100" workbookViewId="0" topLeftCell="J1">
      <selection activeCell="AZ1" sqref="AZ1"/>
    </sheetView>
  </sheetViews>
  <sheetFormatPr defaultColWidth="11.421875" defaultRowHeight="12.75" outlineLevelRow="1" outlineLevelCol="1"/>
  <cols>
    <col min="1" max="1" width="27.8515625" style="1" hidden="1" customWidth="1" outlineLevel="1"/>
    <col min="2" max="2" width="16.28125" style="1" hidden="1" customWidth="1" outlineLevel="1"/>
    <col min="3" max="3" width="11.421875" style="1" hidden="1" customWidth="1" outlineLevel="1"/>
    <col min="4" max="4" width="5.57421875" style="1" hidden="1" customWidth="1" outlineLevel="1"/>
    <col min="5" max="5" width="6.421875" style="1" hidden="1" customWidth="1" outlineLevel="1"/>
    <col min="6" max="6" width="13.7109375" style="1" hidden="1" customWidth="1" outlineLevel="1"/>
    <col min="7" max="7" width="3.00390625" style="1" hidden="1" customWidth="1" outlineLevel="1"/>
    <col min="8" max="8" width="5.140625" style="1" hidden="1" customWidth="1" outlineLevel="1"/>
    <col min="9" max="9" width="7.140625" style="1" hidden="1" customWidth="1" outlineLevel="1"/>
    <col min="10" max="10" width="16.8515625" style="1" customWidth="1" collapsed="1"/>
    <col min="11" max="11" width="40.8515625" style="1" customWidth="1"/>
    <col min="12" max="12" width="5.00390625" style="1" customWidth="1"/>
    <col min="13" max="13" width="4.140625" style="1" customWidth="1"/>
    <col min="14" max="14" width="4.140625" style="1" hidden="1" customWidth="1" outlineLevel="1"/>
    <col min="15" max="15" width="10.57421875" style="1" hidden="1" customWidth="1" outlineLevel="1"/>
    <col min="16" max="16" width="2.28125" style="1" hidden="1" customWidth="1" outlineLevel="1"/>
    <col min="17" max="17" width="5.140625" style="1" customWidth="1" collapsed="1"/>
    <col min="18" max="18" width="16.00390625" style="1" customWidth="1"/>
    <col min="19" max="19" width="3.140625" style="1" customWidth="1"/>
    <col min="20" max="20" width="4.57421875" style="1" hidden="1" customWidth="1" outlineLevel="1"/>
    <col min="21" max="21" width="11.421875" style="1" hidden="1" customWidth="1" outlineLevel="1"/>
    <col min="22" max="22" width="5.140625" style="2" customWidth="1" collapsed="1"/>
    <col min="23" max="23" width="15.00390625" style="2" customWidth="1"/>
    <col min="24" max="24" width="9.7109375" style="61" customWidth="1"/>
    <col min="25" max="25" width="15.28125" style="2" hidden="1" customWidth="1" outlineLevel="1"/>
    <col min="26" max="26" width="14.8515625" style="2" hidden="1" customWidth="1" outlineLevel="1"/>
    <col min="27" max="27" width="2.7109375" style="2" customWidth="1" collapsed="1"/>
    <col min="28" max="28" width="11.140625" style="2" customWidth="1"/>
    <col min="29" max="29" width="14.8515625" style="2" hidden="1" customWidth="1" outlineLevel="1"/>
    <col min="30" max="30" width="2.00390625" style="2" hidden="1" customWidth="1" outlineLevel="1"/>
    <col min="31" max="31" width="20.28125" style="1" customWidth="1" collapsed="1"/>
    <col min="32" max="32" width="3.140625" style="1" customWidth="1"/>
    <col min="33" max="33" width="19.28125" style="1" customWidth="1"/>
    <col min="34" max="34" width="5.28125" style="1" customWidth="1"/>
    <col min="35" max="35" width="17.00390625" style="1" hidden="1" customWidth="1" outlineLevel="1"/>
    <col min="36" max="36" width="16.28125" style="1" hidden="1" customWidth="1" outlineLevel="1"/>
    <col min="37" max="37" width="14.57421875" style="1" customWidth="1" collapsed="1"/>
    <col min="38" max="38" width="19.421875" style="1" customWidth="1"/>
    <col min="39" max="39" width="40.421875" style="51" customWidth="1"/>
    <col min="40" max="40" width="8.140625" style="51" customWidth="1"/>
    <col min="41" max="41" width="3.28125" style="51" customWidth="1"/>
    <col min="42" max="42" width="4.7109375" style="1" customWidth="1"/>
    <col min="43" max="43" width="13.8515625" style="1" customWidth="1"/>
    <col min="44" max="44" width="2.421875" style="1" customWidth="1"/>
    <col min="45" max="45" width="5.00390625" style="1" customWidth="1"/>
    <col min="46" max="46" width="14.421875" style="1" customWidth="1"/>
    <col min="47" max="47" width="11.8515625" style="1" customWidth="1"/>
    <col min="48" max="48" width="11.421875" style="1" customWidth="1"/>
    <col min="49" max="49" width="22.28125" style="1" customWidth="1"/>
    <col min="50" max="50" width="3.7109375" style="1" customWidth="1"/>
    <col min="51" max="51" width="20.7109375" style="1" customWidth="1"/>
    <col min="52" max="52" width="11.421875" style="1" customWidth="1"/>
    <col min="53" max="53" width="6.140625" style="1" customWidth="1"/>
    <col min="54" max="54" width="9.140625" style="1" customWidth="1"/>
    <col min="55" max="16384" width="11.421875" style="1" customWidth="1"/>
  </cols>
  <sheetData>
    <row r="1" spans="1:52" ht="26.25" customHeight="1">
      <c r="A1" s="201" t="s">
        <v>93</v>
      </c>
      <c r="B1" s="202"/>
      <c r="C1" s="202"/>
      <c r="D1" s="202"/>
      <c r="E1" s="202"/>
      <c r="F1" s="202"/>
      <c r="G1" s="202"/>
      <c r="H1" s="93"/>
      <c r="I1" s="93"/>
      <c r="AK1" s="196" t="s">
        <v>238</v>
      </c>
      <c r="AM1" s="100"/>
      <c r="AN1" s="100"/>
      <c r="AO1" s="100"/>
      <c r="AZ1" s="196" t="s">
        <v>237</v>
      </c>
    </row>
    <row r="2" spans="1:52" ht="3.75" customHeight="1">
      <c r="A2" s="202"/>
      <c r="B2" s="202"/>
      <c r="C2" s="202"/>
      <c r="D2" s="202"/>
      <c r="E2" s="202"/>
      <c r="F2" s="202"/>
      <c r="G2" s="202"/>
      <c r="H2" s="93"/>
      <c r="I2" s="93"/>
      <c r="J2" s="93"/>
      <c r="AZ2" s="196"/>
    </row>
    <row r="3" spans="1:41" s="2" customFormat="1" ht="23.25" customHeight="1">
      <c r="A3" s="202"/>
      <c r="B3" s="202"/>
      <c r="C3" s="202"/>
      <c r="D3" s="202"/>
      <c r="E3" s="202"/>
      <c r="F3" s="202"/>
      <c r="G3" s="202"/>
      <c r="H3" s="93"/>
      <c r="I3" s="93"/>
      <c r="J3" s="216" t="s">
        <v>81</v>
      </c>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109" t="s">
        <v>218</v>
      </c>
      <c r="AM3" s="99"/>
      <c r="AN3" s="86"/>
      <c r="AO3" s="18"/>
    </row>
    <row r="4" spans="1:41" s="2" customFormat="1" ht="13.5" customHeight="1" thickBot="1">
      <c r="A4" s="202"/>
      <c r="B4" s="202"/>
      <c r="C4" s="202"/>
      <c r="D4" s="202"/>
      <c r="E4" s="202"/>
      <c r="F4" s="202"/>
      <c r="G4" s="202"/>
      <c r="H4" s="93"/>
      <c r="I4" s="93"/>
      <c r="J4" s="93"/>
      <c r="K4" s="1"/>
      <c r="L4" s="1"/>
      <c r="M4" s="18"/>
      <c r="N4" s="18"/>
      <c r="O4" s="18"/>
      <c r="P4" s="18"/>
      <c r="Q4" s="54"/>
      <c r="R4" s="54"/>
      <c r="S4" s="54"/>
      <c r="T4" s="54"/>
      <c r="U4" s="54"/>
      <c r="X4" s="61"/>
      <c r="AM4" s="86"/>
      <c r="AN4" s="86"/>
      <c r="AO4" s="18"/>
    </row>
    <row r="5" spans="5:53" s="2" customFormat="1" ht="17.25" customHeight="1" thickBot="1">
      <c r="E5" s="203"/>
      <c r="F5" s="203"/>
      <c r="K5" s="18"/>
      <c r="L5" s="18"/>
      <c r="M5" s="71"/>
      <c r="O5" s="75"/>
      <c r="P5" s="75"/>
      <c r="Q5" s="219" t="s">
        <v>1</v>
      </c>
      <c r="R5" s="220"/>
      <c r="S5" s="220"/>
      <c r="T5" s="220"/>
      <c r="U5" s="220"/>
      <c r="V5" s="220"/>
      <c r="W5" s="221"/>
      <c r="X5" s="77"/>
      <c r="AD5" s="75"/>
      <c r="AE5" s="219" t="s">
        <v>2</v>
      </c>
      <c r="AF5" s="220"/>
      <c r="AG5" s="221"/>
      <c r="AH5" s="77"/>
      <c r="AI5" s="98"/>
      <c r="AM5" s="18"/>
      <c r="AN5" s="18"/>
      <c r="AO5" s="18"/>
      <c r="AP5" s="219" t="s">
        <v>82</v>
      </c>
      <c r="AQ5" s="220"/>
      <c r="AR5" s="220"/>
      <c r="AS5" s="220"/>
      <c r="AT5" s="221"/>
      <c r="AW5" s="219" t="s">
        <v>83</v>
      </c>
      <c r="AX5" s="220"/>
      <c r="AY5" s="221"/>
      <c r="AZ5" s="1"/>
      <c r="BA5" s="1"/>
    </row>
    <row r="6" spans="5:46" ht="6.75" customHeight="1" thickBot="1">
      <c r="E6" s="232" t="s">
        <v>47</v>
      </c>
      <c r="F6" s="232"/>
      <c r="Y6" s="27" t="s">
        <v>3</v>
      </c>
      <c r="Z6" s="27" t="s">
        <v>3</v>
      </c>
      <c r="AA6" s="32"/>
      <c r="AI6" s="27" t="s">
        <v>3</v>
      </c>
      <c r="AJ6" s="27" t="s">
        <v>3</v>
      </c>
      <c r="AN6" s="18"/>
      <c r="AO6" s="1"/>
      <c r="AT6" s="72"/>
    </row>
    <row r="7" spans="1:53" s="2" customFormat="1" ht="63.75" customHeight="1" thickBot="1">
      <c r="A7" s="232" t="s">
        <v>59</v>
      </c>
      <c r="B7" s="232"/>
      <c r="C7" s="86"/>
      <c r="E7" s="231"/>
      <c r="F7" s="231"/>
      <c r="K7" s="67"/>
      <c r="N7" s="231" t="s">
        <v>17</v>
      </c>
      <c r="O7" s="231"/>
      <c r="P7" s="56"/>
      <c r="Q7" s="230" t="s">
        <v>179</v>
      </c>
      <c r="R7" s="230"/>
      <c r="S7" s="56"/>
      <c r="T7" s="56"/>
      <c r="U7" s="56"/>
      <c r="V7" s="230" t="s">
        <v>106</v>
      </c>
      <c r="W7" s="230"/>
      <c r="X7" s="61"/>
      <c r="Y7" s="42" t="s">
        <v>19</v>
      </c>
      <c r="Z7" s="42" t="s">
        <v>18</v>
      </c>
      <c r="AA7" s="33"/>
      <c r="AB7" s="159" t="s">
        <v>178</v>
      </c>
      <c r="AC7" s="46" t="s">
        <v>17</v>
      </c>
      <c r="AD7" s="57"/>
      <c r="AE7" s="172" t="s">
        <v>179</v>
      </c>
      <c r="AF7" s="58"/>
      <c r="AG7" s="172" t="s">
        <v>106</v>
      </c>
      <c r="AH7" s="59"/>
      <c r="AI7" s="42" t="s">
        <v>19</v>
      </c>
      <c r="AJ7" s="42" t="s">
        <v>18</v>
      </c>
      <c r="AM7" s="55"/>
      <c r="AN7" s="56"/>
      <c r="AO7" s="56"/>
      <c r="AP7" s="226" t="s">
        <v>197</v>
      </c>
      <c r="AQ7" s="226"/>
      <c r="AR7" s="56"/>
      <c r="AS7" s="226" t="s">
        <v>198</v>
      </c>
      <c r="AT7" s="226"/>
      <c r="AU7" s="33"/>
      <c r="AV7" s="159" t="s">
        <v>193</v>
      </c>
      <c r="AW7" s="190" t="s">
        <v>197</v>
      </c>
      <c r="AX7" s="86"/>
      <c r="AY7" s="190" t="s">
        <v>197</v>
      </c>
      <c r="AZ7" s="1"/>
      <c r="BA7" s="1"/>
    </row>
    <row r="8" spans="5:51" ht="28.5" customHeight="1" thickBot="1">
      <c r="E8" s="227">
        <f>E9+E11+E12+E13</f>
        <v>5186.7</v>
      </c>
      <c r="F8" s="228"/>
      <c r="K8" s="229" t="s">
        <v>0</v>
      </c>
      <c r="L8" s="229"/>
      <c r="M8" s="14"/>
      <c r="N8" s="227">
        <f>N10+N11+N12+N13+N9</f>
        <v>5731.2188478664</v>
      </c>
      <c r="O8" s="228"/>
      <c r="P8" s="14"/>
      <c r="Q8" s="227">
        <f>Q9+Q11+Q12+Q13+Q10</f>
        <v>6337.906820298355</v>
      </c>
      <c r="R8" s="228"/>
      <c r="V8" s="227">
        <f>V9+V11+V12+V13+V14+V15+V16+V10</f>
        <v>8996.494897221432</v>
      </c>
      <c r="W8" s="228"/>
      <c r="X8" s="47"/>
      <c r="Y8" s="38">
        <f aca="true" t="shared" si="0" ref="Y8:Y15">V8-Q8</f>
        <v>2658.588076923076</v>
      </c>
      <c r="Z8" s="38">
        <f aca="true" t="shared" si="1" ref="Z8:Z17">V8-N8</f>
        <v>3265.2760493550313</v>
      </c>
      <c r="AA8" s="34"/>
      <c r="AB8" s="21">
        <v>13</v>
      </c>
      <c r="AC8" s="26">
        <f aca="true" t="shared" si="2" ref="AC8:AC13">N8*13</f>
        <v>74505.84502226321</v>
      </c>
      <c r="AD8" s="57"/>
      <c r="AE8" s="26">
        <f aca="true" t="shared" si="3" ref="AE8:AE13">Q8*13</f>
        <v>82392.78866387861</v>
      </c>
      <c r="AF8" s="15"/>
      <c r="AG8" s="25">
        <f>(V9+V11+V12+V13+V14+V15+V16+V10)*13</f>
        <v>116954.4336638786</v>
      </c>
      <c r="AH8" s="19"/>
      <c r="AI8" s="28">
        <f aca="true" t="shared" si="4" ref="AI8:AI17">AG8-AE8</f>
        <v>34561.64499999999</v>
      </c>
      <c r="AJ8" s="28">
        <f aca="true" t="shared" si="5" ref="AJ8:AJ16">AG8-AC8</f>
        <v>42448.588641615395</v>
      </c>
      <c r="AM8" s="229" t="s">
        <v>23</v>
      </c>
      <c r="AN8" s="229"/>
      <c r="AO8" s="14"/>
      <c r="AP8" s="227">
        <f>AP9+AP11+AP12+AP13+AP10</f>
        <v>6337.906820298355</v>
      </c>
      <c r="AQ8" s="228"/>
      <c r="AS8" s="227">
        <f>AS9+AS11+AS12+AS13+AS14+AS15+AS16+AS10</f>
        <v>8996.494897221432</v>
      </c>
      <c r="AT8" s="228"/>
      <c r="AU8" s="34"/>
      <c r="AV8" s="21">
        <v>13</v>
      </c>
      <c r="AW8" s="26">
        <f aca="true" t="shared" si="6" ref="AW8:AW13">AP8*13</f>
        <v>82392.78866387861</v>
      </c>
      <c r="AX8" s="15"/>
      <c r="AY8" s="25">
        <f>(AS9+AS11+AS12+AS13+AS14+AS15+AS16+AS10)*13</f>
        <v>116954.4336638786</v>
      </c>
    </row>
    <row r="9" spans="1:51" ht="15" customHeight="1">
      <c r="A9" s="80" t="s">
        <v>74</v>
      </c>
      <c r="B9" s="84">
        <v>2230.7</v>
      </c>
      <c r="D9" s="89" t="s">
        <v>73</v>
      </c>
      <c r="E9" s="224">
        <v>2676.72</v>
      </c>
      <c r="F9" s="225"/>
      <c r="K9" s="222" t="s">
        <v>61</v>
      </c>
      <c r="L9" s="223"/>
      <c r="M9" s="16"/>
      <c r="N9" s="224">
        <v>2061.06</v>
      </c>
      <c r="O9" s="225"/>
      <c r="P9" s="16"/>
      <c r="Q9" s="224">
        <v>2279.24</v>
      </c>
      <c r="R9" s="225"/>
      <c r="U9" s="1">
        <f>Q9*40/38</f>
        <v>2399.2</v>
      </c>
      <c r="V9" s="224">
        <v>2399.2</v>
      </c>
      <c r="W9" s="225"/>
      <c r="X9" s="101" t="s">
        <v>14</v>
      </c>
      <c r="Y9" s="39">
        <f t="shared" si="0"/>
        <v>119.96000000000004</v>
      </c>
      <c r="Z9" s="39">
        <f>V9-N10</f>
        <v>1411.6799999999998</v>
      </c>
      <c r="AA9" s="35"/>
      <c r="AB9" s="20"/>
      <c r="AC9" s="12">
        <f t="shared" si="2"/>
        <v>26793.78</v>
      </c>
      <c r="AD9" s="20"/>
      <c r="AE9" s="12">
        <f t="shared" si="3"/>
        <v>29630.119999999995</v>
      </c>
      <c r="AF9" s="2"/>
      <c r="AG9" s="12">
        <f aca="true" t="shared" si="7" ref="AG9:AG17">V9*13</f>
        <v>31189.6</v>
      </c>
      <c r="AH9" s="60"/>
      <c r="AI9" s="40">
        <f t="shared" si="4"/>
        <v>1559.4800000000032</v>
      </c>
      <c r="AJ9" s="40">
        <f t="shared" si="5"/>
        <v>4395.82</v>
      </c>
      <c r="AM9" s="222" t="s">
        <v>80</v>
      </c>
      <c r="AN9" s="223"/>
      <c r="AO9" s="16"/>
      <c r="AP9" s="224">
        <f>Q9</f>
        <v>2279.24</v>
      </c>
      <c r="AQ9" s="225"/>
      <c r="AS9" s="224">
        <f>V9</f>
        <v>2399.2</v>
      </c>
      <c r="AT9" s="225"/>
      <c r="AU9" s="102" t="s">
        <v>14</v>
      </c>
      <c r="AV9" s="20"/>
      <c r="AW9" s="12">
        <f t="shared" si="6"/>
        <v>29630.119999999995</v>
      </c>
      <c r="AX9" s="2"/>
      <c r="AY9" s="12">
        <f aca="true" t="shared" si="8" ref="AY9:AY17">AS9*13</f>
        <v>31189.6</v>
      </c>
    </row>
    <row r="10" spans="1:51" ht="15" customHeight="1">
      <c r="A10" s="80"/>
      <c r="B10" s="84"/>
      <c r="D10" s="89"/>
      <c r="E10" s="91"/>
      <c r="F10" s="92"/>
      <c r="K10" s="222" t="s">
        <v>100</v>
      </c>
      <c r="L10" s="223"/>
      <c r="M10" s="16"/>
      <c r="N10" s="224">
        <f>3048.58-2061.06</f>
        <v>987.52</v>
      </c>
      <c r="O10" s="225"/>
      <c r="P10" s="16"/>
      <c r="Q10" s="224">
        <v>1092.05</v>
      </c>
      <c r="R10" s="225"/>
      <c r="U10" s="1">
        <f>Q10*40/38</f>
        <v>1149.5263157894738</v>
      </c>
      <c r="V10" s="224">
        <v>1149.52</v>
      </c>
      <c r="W10" s="225"/>
      <c r="X10" s="101" t="s">
        <v>14</v>
      </c>
      <c r="Y10" s="39">
        <f t="shared" si="0"/>
        <v>57.47000000000003</v>
      </c>
      <c r="Z10" s="39">
        <f>V10-N11</f>
        <v>382.56999999999994</v>
      </c>
      <c r="AA10" s="35"/>
      <c r="AB10" s="20"/>
      <c r="AC10" s="12">
        <f t="shared" si="2"/>
        <v>12837.76</v>
      </c>
      <c r="AD10" s="20"/>
      <c r="AE10" s="12">
        <f t="shared" si="3"/>
        <v>14196.65</v>
      </c>
      <c r="AF10" s="2"/>
      <c r="AG10" s="12">
        <f t="shared" si="7"/>
        <v>14943.76</v>
      </c>
      <c r="AH10" s="60"/>
      <c r="AI10" s="94"/>
      <c r="AJ10" s="94"/>
      <c r="AM10" s="222" t="s">
        <v>101</v>
      </c>
      <c r="AN10" s="223"/>
      <c r="AO10" s="16"/>
      <c r="AP10" s="224">
        <f>Q10</f>
        <v>1092.05</v>
      </c>
      <c r="AQ10" s="225"/>
      <c r="AS10" s="224">
        <f aca="true" t="shared" si="9" ref="AS10:AS16">V10</f>
        <v>1149.52</v>
      </c>
      <c r="AT10" s="225"/>
      <c r="AU10" s="102" t="s">
        <v>14</v>
      </c>
      <c r="AV10" s="20"/>
      <c r="AW10" s="12">
        <f t="shared" si="6"/>
        <v>14196.65</v>
      </c>
      <c r="AX10" s="2"/>
      <c r="AY10" s="12">
        <f t="shared" si="8"/>
        <v>14943.76</v>
      </c>
    </row>
    <row r="11" spans="1:51" ht="15" customHeight="1">
      <c r="A11" s="83" t="s">
        <v>52</v>
      </c>
      <c r="B11" s="87">
        <v>578.33</v>
      </c>
      <c r="E11" s="224">
        <v>730.58</v>
      </c>
      <c r="F11" s="225"/>
      <c r="K11" s="222" t="s">
        <v>97</v>
      </c>
      <c r="L11" s="223"/>
      <c r="M11" s="16"/>
      <c r="N11" s="224">
        <v>766.95</v>
      </c>
      <c r="O11" s="225"/>
      <c r="P11" s="16"/>
      <c r="Q11" s="224">
        <v>848.14</v>
      </c>
      <c r="R11" s="225"/>
      <c r="V11" s="224">
        <f>Q11</f>
        <v>848.14</v>
      </c>
      <c r="W11" s="225"/>
      <c r="X11" s="49"/>
      <c r="Y11" s="39">
        <f t="shared" si="0"/>
        <v>0</v>
      </c>
      <c r="Z11" s="39">
        <f t="shared" si="1"/>
        <v>81.18999999999994</v>
      </c>
      <c r="AA11" s="35"/>
      <c r="AB11" s="20"/>
      <c r="AC11" s="12">
        <f t="shared" si="2"/>
        <v>9970.35</v>
      </c>
      <c r="AD11" s="20"/>
      <c r="AE11" s="12">
        <f t="shared" si="3"/>
        <v>11025.82</v>
      </c>
      <c r="AF11" s="2"/>
      <c r="AG11" s="12">
        <f t="shared" si="7"/>
        <v>11025.82</v>
      </c>
      <c r="AH11" s="60"/>
      <c r="AI11" s="8">
        <f>AG11-AE11</f>
        <v>0</v>
      </c>
      <c r="AJ11" s="8">
        <f t="shared" si="5"/>
        <v>1055.4699999999993</v>
      </c>
      <c r="AM11" s="222" t="s">
        <v>24</v>
      </c>
      <c r="AN11" s="223"/>
      <c r="AO11" s="16"/>
      <c r="AP11" s="224">
        <f>Q11</f>
        <v>848.14</v>
      </c>
      <c r="AQ11" s="225"/>
      <c r="AS11" s="224">
        <f t="shared" si="9"/>
        <v>848.14</v>
      </c>
      <c r="AT11" s="225"/>
      <c r="AU11" s="35"/>
      <c r="AV11" s="20"/>
      <c r="AW11" s="12">
        <f t="shared" si="6"/>
        <v>11025.82</v>
      </c>
      <c r="AX11" s="2"/>
      <c r="AY11" s="12">
        <f t="shared" si="8"/>
        <v>11025.82</v>
      </c>
    </row>
    <row r="12" spans="1:51" ht="15" customHeight="1">
      <c r="A12" s="83" t="s">
        <v>48</v>
      </c>
      <c r="B12" s="87">
        <v>72.25</v>
      </c>
      <c r="E12" s="224">
        <v>681.57</v>
      </c>
      <c r="F12" s="225"/>
      <c r="K12" s="222" t="s">
        <v>98</v>
      </c>
      <c r="L12" s="223"/>
      <c r="M12" s="16"/>
      <c r="N12" s="224">
        <v>763.2</v>
      </c>
      <c r="O12" s="225"/>
      <c r="P12" s="16"/>
      <c r="Q12" s="224">
        <f>10127.87/12</f>
        <v>843.9891666666667</v>
      </c>
      <c r="R12" s="225"/>
      <c r="V12" s="224">
        <f>Q12</f>
        <v>843.9891666666667</v>
      </c>
      <c r="W12" s="225"/>
      <c r="X12" s="156"/>
      <c r="Y12" s="39">
        <f t="shared" si="0"/>
        <v>0</v>
      </c>
      <c r="Z12" s="39">
        <f t="shared" si="1"/>
        <v>80.78916666666669</v>
      </c>
      <c r="AA12" s="35"/>
      <c r="AB12" s="20"/>
      <c r="AC12" s="12">
        <f t="shared" si="2"/>
        <v>9921.6</v>
      </c>
      <c r="AD12" s="20"/>
      <c r="AE12" s="12">
        <f t="shared" si="3"/>
        <v>10971.859166666667</v>
      </c>
      <c r="AF12" s="2"/>
      <c r="AG12" s="12">
        <f t="shared" si="7"/>
        <v>10971.859166666667</v>
      </c>
      <c r="AH12" s="60"/>
      <c r="AI12" s="8">
        <f t="shared" si="4"/>
        <v>0</v>
      </c>
      <c r="AJ12" s="8">
        <f t="shared" si="5"/>
        <v>1050.2591666666667</v>
      </c>
      <c r="AM12" s="222" t="s">
        <v>25</v>
      </c>
      <c r="AN12" s="223"/>
      <c r="AO12" s="16"/>
      <c r="AP12" s="224">
        <f>Q12</f>
        <v>843.9891666666667</v>
      </c>
      <c r="AQ12" s="225"/>
      <c r="AS12" s="224">
        <f t="shared" si="9"/>
        <v>843.9891666666667</v>
      </c>
      <c r="AT12" s="225"/>
      <c r="AU12" s="35"/>
      <c r="AV12" s="20"/>
      <c r="AW12" s="12">
        <f t="shared" si="6"/>
        <v>10971.859166666667</v>
      </c>
      <c r="AX12" s="2"/>
      <c r="AY12" s="12">
        <f t="shared" si="8"/>
        <v>10971.859166666667</v>
      </c>
    </row>
    <row r="13" spans="1:51" ht="15" customHeight="1">
      <c r="A13" s="83" t="s">
        <v>49</v>
      </c>
      <c r="B13" s="87">
        <v>658.19</v>
      </c>
      <c r="E13" s="224">
        <f>B17</f>
        <v>1097.83</v>
      </c>
      <c r="F13" s="225"/>
      <c r="K13" s="222" t="s">
        <v>21</v>
      </c>
      <c r="L13" s="223"/>
      <c r="M13" s="16"/>
      <c r="N13" s="224">
        <f>B17*101.2%*102%*101.7%</f>
        <v>1152.4888478664002</v>
      </c>
      <c r="O13" s="225"/>
      <c r="P13" s="16"/>
      <c r="Q13" s="224">
        <f>N13*102.1%*102%*102.3%*103.8%</f>
        <v>1274.487653631689</v>
      </c>
      <c r="R13" s="225"/>
      <c r="V13" s="224">
        <f>Q13</f>
        <v>1274.487653631689</v>
      </c>
      <c r="W13" s="225"/>
      <c r="X13" s="49"/>
      <c r="Y13" s="39">
        <f t="shared" si="0"/>
        <v>0</v>
      </c>
      <c r="Z13" s="39">
        <f t="shared" si="1"/>
        <v>121.99880576528881</v>
      </c>
      <c r="AA13" s="35"/>
      <c r="AB13" s="20"/>
      <c r="AC13" s="12">
        <f t="shared" si="2"/>
        <v>14982.355022263202</v>
      </c>
      <c r="AD13" s="20"/>
      <c r="AE13" s="12">
        <f t="shared" si="3"/>
        <v>16568.339497211957</v>
      </c>
      <c r="AF13" s="2"/>
      <c r="AG13" s="12">
        <f t="shared" si="7"/>
        <v>16568.339497211957</v>
      </c>
      <c r="AH13" s="60"/>
      <c r="AI13" s="8">
        <f t="shared" si="4"/>
        <v>0</v>
      </c>
      <c r="AJ13" s="8">
        <f t="shared" si="5"/>
        <v>1585.9844749487547</v>
      </c>
      <c r="AM13" s="222" t="s">
        <v>26</v>
      </c>
      <c r="AN13" s="223"/>
      <c r="AO13" s="16"/>
      <c r="AP13" s="224">
        <f>Q13</f>
        <v>1274.487653631689</v>
      </c>
      <c r="AQ13" s="225"/>
      <c r="AS13" s="224">
        <f t="shared" si="9"/>
        <v>1274.487653631689</v>
      </c>
      <c r="AT13" s="225"/>
      <c r="AU13" s="35"/>
      <c r="AV13" s="20"/>
      <c r="AW13" s="12">
        <f t="shared" si="6"/>
        <v>16568.339497211957</v>
      </c>
      <c r="AX13" s="2"/>
      <c r="AY13" s="12">
        <f t="shared" si="8"/>
        <v>16568.339497211957</v>
      </c>
    </row>
    <row r="14" spans="1:51" ht="15" customHeight="1">
      <c r="A14" s="80" t="s">
        <v>56</v>
      </c>
      <c r="B14" s="84">
        <f>B12+B13</f>
        <v>730.44</v>
      </c>
      <c r="E14" s="214"/>
      <c r="F14" s="215"/>
      <c r="J14" s="88" t="s">
        <v>112</v>
      </c>
      <c r="K14" s="222" t="s">
        <v>85</v>
      </c>
      <c r="L14" s="223"/>
      <c r="M14" s="16"/>
      <c r="N14" s="214"/>
      <c r="O14" s="215"/>
      <c r="P14" s="16"/>
      <c r="Q14" s="214"/>
      <c r="R14" s="215"/>
      <c r="V14" s="204">
        <f>(136*2*4.345)/13*12</f>
        <v>1090.9292307692306</v>
      </c>
      <c r="W14" s="204"/>
      <c r="X14" s="73"/>
      <c r="Y14" s="39">
        <f t="shared" si="0"/>
        <v>1090.9292307692306</v>
      </c>
      <c r="Z14" s="39">
        <f t="shared" si="1"/>
        <v>1090.9292307692306</v>
      </c>
      <c r="AA14" s="35"/>
      <c r="AB14" s="20"/>
      <c r="AC14" s="12"/>
      <c r="AD14" s="20"/>
      <c r="AE14" s="31"/>
      <c r="AF14" s="2"/>
      <c r="AG14" s="12">
        <f t="shared" si="7"/>
        <v>14182.079999999998</v>
      </c>
      <c r="AH14" s="60"/>
      <c r="AI14" s="8">
        <f>AG14-AE14</f>
        <v>14182.079999999998</v>
      </c>
      <c r="AJ14" s="8">
        <f t="shared" si="5"/>
        <v>14182.079999999998</v>
      </c>
      <c r="AL14" s="88" t="s">
        <v>119</v>
      </c>
      <c r="AM14" s="222" t="s">
        <v>27</v>
      </c>
      <c r="AN14" s="223"/>
      <c r="AO14" s="16"/>
      <c r="AP14" s="214"/>
      <c r="AQ14" s="215"/>
      <c r="AS14" s="224">
        <f t="shared" si="9"/>
        <v>1090.9292307692306</v>
      </c>
      <c r="AT14" s="225"/>
      <c r="AU14" s="35"/>
      <c r="AV14" s="20"/>
      <c r="AW14" s="31"/>
      <c r="AX14" s="2"/>
      <c r="AY14" s="12">
        <f t="shared" si="8"/>
        <v>14182.079999999998</v>
      </c>
    </row>
    <row r="15" spans="1:51" ht="15" customHeight="1">
      <c r="A15" s="80" t="s">
        <v>53</v>
      </c>
      <c r="B15" s="84">
        <v>69.17</v>
      </c>
      <c r="E15" s="214"/>
      <c r="F15" s="215"/>
      <c r="J15" s="88" t="s">
        <v>116</v>
      </c>
      <c r="K15" s="222" t="s">
        <v>41</v>
      </c>
      <c r="L15" s="223"/>
      <c r="M15" s="16"/>
      <c r="N15" s="214"/>
      <c r="O15" s="215"/>
      <c r="P15" s="16"/>
      <c r="Q15" s="214"/>
      <c r="R15" s="215"/>
      <c r="V15" s="224">
        <f>12394.97/13</f>
        <v>953.4592307692308</v>
      </c>
      <c r="W15" s="225"/>
      <c r="X15" s="73"/>
      <c r="Y15" s="39">
        <f t="shared" si="0"/>
        <v>953.4592307692308</v>
      </c>
      <c r="Z15" s="39">
        <f t="shared" si="1"/>
        <v>953.4592307692308</v>
      </c>
      <c r="AA15" s="35"/>
      <c r="AB15" s="20"/>
      <c r="AC15" s="12"/>
      <c r="AD15" s="20"/>
      <c r="AE15" s="31"/>
      <c r="AF15" s="2"/>
      <c r="AG15" s="12">
        <f t="shared" si="7"/>
        <v>12394.97</v>
      </c>
      <c r="AH15" s="60"/>
      <c r="AI15" s="8">
        <f>AG15-AE15</f>
        <v>12394.97</v>
      </c>
      <c r="AJ15" s="97">
        <f t="shared" si="5"/>
        <v>12394.97</v>
      </c>
      <c r="AL15" s="88" t="s">
        <v>117</v>
      </c>
      <c r="AM15" s="222" t="s">
        <v>44</v>
      </c>
      <c r="AN15" s="223"/>
      <c r="AO15" s="16"/>
      <c r="AP15" s="214"/>
      <c r="AQ15" s="215"/>
      <c r="AS15" s="224">
        <f t="shared" si="9"/>
        <v>953.4592307692308</v>
      </c>
      <c r="AT15" s="225"/>
      <c r="AU15" s="35"/>
      <c r="AV15" s="20"/>
      <c r="AW15" s="31"/>
      <c r="AX15" s="2"/>
      <c r="AY15" s="12">
        <f t="shared" si="8"/>
        <v>12394.97</v>
      </c>
    </row>
    <row r="16" spans="1:51" ht="15" customHeight="1" thickBot="1">
      <c r="A16" s="80" t="s">
        <v>54</v>
      </c>
      <c r="B16" s="84">
        <v>142.57</v>
      </c>
      <c r="E16" s="214"/>
      <c r="F16" s="215"/>
      <c r="J16" s="88" t="s">
        <v>118</v>
      </c>
      <c r="K16" s="222" t="s">
        <v>108</v>
      </c>
      <c r="L16" s="223"/>
      <c r="M16" s="16"/>
      <c r="N16" s="214"/>
      <c r="O16" s="215"/>
      <c r="P16" s="16"/>
      <c r="Q16" s="214"/>
      <c r="R16" s="215"/>
      <c r="T16" s="41" t="s">
        <v>20</v>
      </c>
      <c r="U16" s="1">
        <f>((Q24+Q28+Q30)-((Y15/2)+Y9+Y10+Y11+Y12+Y13+Y14))-((((Y15/2)+Y9+Y10+Y11+Y12+Y14)/13)+(((Q24+Q28+Q30)-((Y15/2)+Y9+Y10+Y11+Y12+Y14))/13))</f>
        <v>436.76961538461524</v>
      </c>
      <c r="V16" s="224">
        <f>IF(U16&gt;0,U16,0)</f>
        <v>436.76961538461524</v>
      </c>
      <c r="W16" s="225"/>
      <c r="X16" s="73"/>
      <c r="Y16" s="39">
        <f>V16</f>
        <v>436.76961538461524</v>
      </c>
      <c r="Z16" s="20"/>
      <c r="AA16" s="35"/>
      <c r="AB16" s="20"/>
      <c r="AC16" s="12"/>
      <c r="AD16" s="20"/>
      <c r="AE16" s="31"/>
      <c r="AF16" s="2"/>
      <c r="AG16" s="12">
        <f t="shared" si="7"/>
        <v>5678.004999999998</v>
      </c>
      <c r="AH16" s="60"/>
      <c r="AI16" s="8">
        <f>AG16-AE16</f>
        <v>5678.004999999998</v>
      </c>
      <c r="AJ16" s="43">
        <f t="shared" si="5"/>
        <v>5678.004999999998</v>
      </c>
      <c r="AL16" s="88" t="s">
        <v>120</v>
      </c>
      <c r="AM16" s="222" t="s">
        <v>84</v>
      </c>
      <c r="AN16" s="223"/>
      <c r="AO16" s="16"/>
      <c r="AP16" s="214"/>
      <c r="AQ16" s="215"/>
      <c r="AS16" s="224">
        <f t="shared" si="9"/>
        <v>436.76961538461524</v>
      </c>
      <c r="AT16" s="225"/>
      <c r="AU16" s="35"/>
      <c r="AV16" s="20"/>
      <c r="AW16" s="31"/>
      <c r="AX16" s="2"/>
      <c r="AY16" s="12">
        <f t="shared" si="8"/>
        <v>5678.004999999998</v>
      </c>
    </row>
    <row r="17" spans="1:51" ht="28.5" customHeight="1" thickBot="1">
      <c r="A17" s="80" t="s">
        <v>55</v>
      </c>
      <c r="B17" s="84">
        <v>1097.83</v>
      </c>
      <c r="E17" s="227">
        <f>F18</f>
        <v>0</v>
      </c>
      <c r="F17" s="228"/>
      <c r="K17" s="209" t="s">
        <v>4</v>
      </c>
      <c r="L17" s="210"/>
      <c r="M17" s="14"/>
      <c r="N17" s="227">
        <f>O18</f>
        <v>0</v>
      </c>
      <c r="O17" s="228"/>
      <c r="P17" s="14"/>
      <c r="Q17" s="227">
        <f>R18</f>
        <v>0</v>
      </c>
      <c r="R17" s="228"/>
      <c r="T17" s="3"/>
      <c r="U17" s="6"/>
      <c r="V17" s="227">
        <f>W18</f>
        <v>0</v>
      </c>
      <c r="W17" s="228"/>
      <c r="X17" s="50"/>
      <c r="Y17" s="28">
        <f>V17-Q17</f>
        <v>0</v>
      </c>
      <c r="Z17" s="28">
        <f t="shared" si="1"/>
        <v>0</v>
      </c>
      <c r="AA17" s="34"/>
      <c r="AB17" s="21">
        <v>13</v>
      </c>
      <c r="AC17" s="26">
        <f>N17*13</f>
        <v>0</v>
      </c>
      <c r="AD17" s="21"/>
      <c r="AE17" s="26">
        <f>Q17*13</f>
        <v>0</v>
      </c>
      <c r="AF17" s="15"/>
      <c r="AG17" s="26">
        <f t="shared" si="7"/>
        <v>0</v>
      </c>
      <c r="AH17" s="19"/>
      <c r="AI17" s="28">
        <f t="shared" si="4"/>
        <v>0</v>
      </c>
      <c r="AJ17" s="28">
        <v>0</v>
      </c>
      <c r="AM17" s="209" t="s">
        <v>29</v>
      </c>
      <c r="AN17" s="210"/>
      <c r="AO17" s="14"/>
      <c r="AP17" s="227">
        <f>AQ18</f>
        <v>0</v>
      </c>
      <c r="AQ17" s="228"/>
      <c r="AS17" s="227">
        <f>AT18</f>
        <v>0</v>
      </c>
      <c r="AT17" s="228"/>
      <c r="AU17" s="34"/>
      <c r="AV17" s="21">
        <v>13</v>
      </c>
      <c r="AW17" s="26">
        <f>AP17*13</f>
        <v>0</v>
      </c>
      <c r="AX17" s="15"/>
      <c r="AY17" s="26">
        <f t="shared" si="8"/>
        <v>0</v>
      </c>
    </row>
    <row r="18" spans="1:51" ht="15" customHeight="1">
      <c r="A18" s="81" t="s">
        <v>50</v>
      </c>
      <c r="B18" s="84">
        <f>((B9+B14+B15+B16+B17)-B12-B11-B15)*100%</f>
        <v>3550.96</v>
      </c>
      <c r="E18" s="9"/>
      <c r="F18" s="5"/>
      <c r="K18" s="222" t="s">
        <v>5</v>
      </c>
      <c r="L18" s="223"/>
      <c r="M18" s="16"/>
      <c r="N18" s="9"/>
      <c r="O18" s="5"/>
      <c r="P18" s="16"/>
      <c r="Q18" s="9"/>
      <c r="R18" s="5"/>
      <c r="V18" s="9"/>
      <c r="W18" s="5"/>
      <c r="X18" s="65"/>
      <c r="Y18" s="10"/>
      <c r="Z18" s="10"/>
      <c r="AA18" s="36"/>
      <c r="AC18" s="12"/>
      <c r="AE18" s="12"/>
      <c r="AF18" s="2"/>
      <c r="AG18" s="12"/>
      <c r="AH18" s="60"/>
      <c r="AI18" s="10"/>
      <c r="AJ18" s="10"/>
      <c r="AM18" s="222" t="s">
        <v>30</v>
      </c>
      <c r="AN18" s="223"/>
      <c r="AO18" s="16"/>
      <c r="AP18" s="9"/>
      <c r="AQ18" s="5"/>
      <c r="AS18" s="9"/>
      <c r="AT18" s="5"/>
      <c r="AU18" s="36"/>
      <c r="AV18" s="2"/>
      <c r="AW18" s="12"/>
      <c r="AX18" s="2"/>
      <c r="AY18" s="12"/>
    </row>
    <row r="19" spans="1:51" ht="15" customHeight="1">
      <c r="A19" s="82" t="s">
        <v>51</v>
      </c>
      <c r="B19" s="85">
        <f>B18+B17+B16+B15+B14+B9</f>
        <v>7821.669999999999</v>
      </c>
      <c r="E19" s="4"/>
      <c r="F19" s="5"/>
      <c r="K19" s="222" t="s">
        <v>92</v>
      </c>
      <c r="L19" s="223"/>
      <c r="M19" s="16"/>
      <c r="N19" s="4"/>
      <c r="O19" s="5"/>
      <c r="P19" s="16"/>
      <c r="Q19" s="4"/>
      <c r="R19" s="5"/>
      <c r="V19" s="4"/>
      <c r="W19" s="5"/>
      <c r="Y19" s="10"/>
      <c r="Z19" s="10"/>
      <c r="AA19" s="36"/>
      <c r="AB19" s="62"/>
      <c r="AC19" s="12"/>
      <c r="AD19" s="62"/>
      <c r="AE19" s="12"/>
      <c r="AF19" s="2"/>
      <c r="AG19" s="12"/>
      <c r="AH19" s="60"/>
      <c r="AI19" s="10"/>
      <c r="AJ19" s="10"/>
      <c r="AM19" s="222" t="s">
        <v>91</v>
      </c>
      <c r="AN19" s="223"/>
      <c r="AO19" s="16"/>
      <c r="AP19" s="4"/>
      <c r="AQ19" s="5"/>
      <c r="AS19" s="4"/>
      <c r="AT19" s="5"/>
      <c r="AU19" s="36"/>
      <c r="AV19" s="62"/>
      <c r="AW19" s="12"/>
      <c r="AX19" s="2"/>
      <c r="AY19" s="12"/>
    </row>
    <row r="20" spans="5:51" ht="15" customHeight="1" thickBot="1">
      <c r="E20" s="4"/>
      <c r="F20" s="5"/>
      <c r="K20" s="222" t="s">
        <v>6</v>
      </c>
      <c r="L20" s="223"/>
      <c r="M20" s="16"/>
      <c r="N20" s="4"/>
      <c r="O20" s="5"/>
      <c r="P20" s="16"/>
      <c r="Q20" s="4"/>
      <c r="R20" s="5"/>
      <c r="V20" s="4"/>
      <c r="W20" s="5"/>
      <c r="X20" s="70"/>
      <c r="Y20" s="10"/>
      <c r="Z20" s="10"/>
      <c r="AA20" s="36"/>
      <c r="AC20" s="12"/>
      <c r="AE20" s="12"/>
      <c r="AF20" s="2"/>
      <c r="AG20" s="12"/>
      <c r="AH20" s="60"/>
      <c r="AI20" s="10"/>
      <c r="AJ20" s="10"/>
      <c r="AM20" s="222" t="s">
        <v>31</v>
      </c>
      <c r="AN20" s="223"/>
      <c r="AO20" s="16"/>
      <c r="AP20" s="4"/>
      <c r="AQ20" s="5"/>
      <c r="AS20" s="4"/>
      <c r="AT20" s="5"/>
      <c r="AU20" s="36"/>
      <c r="AV20" s="2"/>
      <c r="AW20" s="12"/>
      <c r="AX20" s="2"/>
      <c r="AY20" s="12"/>
    </row>
    <row r="21" spans="5:51" ht="15" customHeight="1" hidden="1" outlineLevel="1" thickBot="1">
      <c r="E21" s="5"/>
      <c r="F21" s="5"/>
      <c r="K21" s="222" t="s">
        <v>66</v>
      </c>
      <c r="L21" s="223"/>
      <c r="M21" s="16"/>
      <c r="N21" s="5"/>
      <c r="O21" s="5"/>
      <c r="P21" s="16"/>
      <c r="Q21" s="5"/>
      <c r="R21" s="5"/>
      <c r="V21" s="5"/>
      <c r="W21" s="5"/>
      <c r="Y21" s="10"/>
      <c r="Z21" s="10"/>
      <c r="AA21" s="36"/>
      <c r="AC21" s="12"/>
      <c r="AE21" s="12"/>
      <c r="AF21" s="2"/>
      <c r="AG21" s="12"/>
      <c r="AH21" s="60"/>
      <c r="AI21" s="10"/>
      <c r="AJ21" s="10"/>
      <c r="AM21" s="222" t="s">
        <v>32</v>
      </c>
      <c r="AN21" s="223"/>
      <c r="AO21" s="16"/>
      <c r="AP21" s="5"/>
      <c r="AQ21" s="5"/>
      <c r="AS21" s="5"/>
      <c r="AT21" s="5"/>
      <c r="AU21" s="36"/>
      <c r="AV21" s="2"/>
      <c r="AW21" s="12"/>
      <c r="AX21" s="2"/>
      <c r="AY21" s="12"/>
    </row>
    <row r="22" spans="5:51" ht="28.5" customHeight="1" collapsed="1" thickBot="1">
      <c r="E22" s="227">
        <f>E24+E25</f>
        <v>2187.696</v>
      </c>
      <c r="F22" s="228"/>
      <c r="K22" s="209" t="s">
        <v>7</v>
      </c>
      <c r="L22" s="210"/>
      <c r="M22" s="14"/>
      <c r="N22" s="227">
        <f>N24</f>
        <v>1772.76</v>
      </c>
      <c r="O22" s="228"/>
      <c r="P22" s="14"/>
      <c r="Q22" s="227">
        <f>Q24</f>
        <v>1772.76</v>
      </c>
      <c r="R22" s="228"/>
      <c r="S22" s="3"/>
      <c r="T22" s="3"/>
      <c r="U22" s="3"/>
      <c r="V22" s="227">
        <f>V23</f>
        <v>0</v>
      </c>
      <c r="W22" s="228"/>
      <c r="Y22" s="28">
        <f>V22-Q22</f>
        <v>-1772.76</v>
      </c>
      <c r="Z22" s="28">
        <f>V22-N22</f>
        <v>-1772.76</v>
      </c>
      <c r="AA22" s="34"/>
      <c r="AB22" s="21">
        <v>12</v>
      </c>
      <c r="AC22" s="26">
        <f>N22*12</f>
        <v>21273.12</v>
      </c>
      <c r="AD22" s="21"/>
      <c r="AE22" s="26">
        <f>Q22*12</f>
        <v>21273.12</v>
      </c>
      <c r="AF22" s="15"/>
      <c r="AG22" s="25">
        <f>V22*12</f>
        <v>0</v>
      </c>
      <c r="AH22" s="22"/>
      <c r="AI22" s="28">
        <f>AG22-AE22</f>
        <v>-21273.12</v>
      </c>
      <c r="AJ22" s="28">
        <f>AG22-AC22</f>
        <v>-21273.12</v>
      </c>
      <c r="AM22" s="209" t="s">
        <v>33</v>
      </c>
      <c r="AN22" s="210"/>
      <c r="AO22" s="14"/>
      <c r="AP22" s="227">
        <f>AP24</f>
        <v>1772.76</v>
      </c>
      <c r="AQ22" s="228"/>
      <c r="AR22" s="3"/>
      <c r="AS22" s="227">
        <f>AS23</f>
        <v>0</v>
      </c>
      <c r="AT22" s="228"/>
      <c r="AU22" s="34"/>
      <c r="AV22" s="21">
        <v>12</v>
      </c>
      <c r="AW22" s="26">
        <f>AP22*12</f>
        <v>21273.12</v>
      </c>
      <c r="AX22" s="15"/>
      <c r="AY22" s="25">
        <f>AS22*12</f>
        <v>0</v>
      </c>
    </row>
    <row r="23" spans="5:51" ht="15" customHeight="1">
      <c r="E23" s="224">
        <v>0</v>
      </c>
      <c r="F23" s="225"/>
      <c r="K23" s="17" t="s">
        <v>90</v>
      </c>
      <c r="L23" s="7">
        <v>0</v>
      </c>
      <c r="M23" s="16"/>
      <c r="N23" s="224">
        <v>0</v>
      </c>
      <c r="O23" s="225"/>
      <c r="P23" s="16"/>
      <c r="Q23" s="224">
        <v>0</v>
      </c>
      <c r="R23" s="225"/>
      <c r="V23" s="224">
        <v>0</v>
      </c>
      <c r="W23" s="225"/>
      <c r="AA23" s="63"/>
      <c r="AC23" s="12">
        <v>0</v>
      </c>
      <c r="AE23" s="12">
        <v>0</v>
      </c>
      <c r="AF23" s="2"/>
      <c r="AG23" s="12">
        <v>0</v>
      </c>
      <c r="AH23" s="22"/>
      <c r="AI23" s="2"/>
      <c r="AJ23" s="2"/>
      <c r="AM23" s="17" t="s">
        <v>89</v>
      </c>
      <c r="AN23" s="7">
        <v>0</v>
      </c>
      <c r="AO23" s="16"/>
      <c r="AP23" s="224">
        <f>Q23</f>
        <v>0</v>
      </c>
      <c r="AQ23" s="225"/>
      <c r="AS23" s="224">
        <v>0</v>
      </c>
      <c r="AT23" s="225"/>
      <c r="AU23" s="63"/>
      <c r="AV23" s="2"/>
      <c r="AW23" s="12">
        <v>0</v>
      </c>
      <c r="AX23" s="2"/>
      <c r="AY23" s="12">
        <v>0</v>
      </c>
    </row>
    <row r="24" spans="4:51" ht="15" customHeight="1">
      <c r="D24" s="88" t="s">
        <v>58</v>
      </c>
      <c r="E24" s="224">
        <f>136*3*4.345</f>
        <v>1772.76</v>
      </c>
      <c r="F24" s="225"/>
      <c r="K24" s="17" t="s">
        <v>15</v>
      </c>
      <c r="L24" s="11">
        <v>3</v>
      </c>
      <c r="M24" s="16"/>
      <c r="N24" s="224">
        <f>136*L24*4.345</f>
        <v>1772.76</v>
      </c>
      <c r="O24" s="225"/>
      <c r="P24" s="16"/>
      <c r="Q24" s="224">
        <f>136*L24*4.345</f>
        <v>1772.76</v>
      </c>
      <c r="R24" s="225"/>
      <c r="V24" s="214"/>
      <c r="W24" s="215"/>
      <c r="AA24" s="63"/>
      <c r="AC24" s="12">
        <f>N24*12</f>
        <v>21273.12</v>
      </c>
      <c r="AE24" s="12">
        <f>Q24*12</f>
        <v>21273.12</v>
      </c>
      <c r="AF24" s="2"/>
      <c r="AG24" s="31"/>
      <c r="AH24" s="64"/>
      <c r="AI24" s="2"/>
      <c r="AJ24" s="2"/>
      <c r="AM24" s="17" t="s">
        <v>60</v>
      </c>
      <c r="AN24" s="11">
        <v>3</v>
      </c>
      <c r="AO24" s="16"/>
      <c r="AP24" s="224">
        <f>Q24</f>
        <v>1772.76</v>
      </c>
      <c r="AQ24" s="225"/>
      <c r="AS24" s="214"/>
      <c r="AT24" s="215"/>
      <c r="AU24" s="63"/>
      <c r="AV24" s="2"/>
      <c r="AW24" s="12">
        <f>AP24*12</f>
        <v>21273.12</v>
      </c>
      <c r="AX24" s="2"/>
      <c r="AY24" s="31"/>
    </row>
    <row r="25" spans="5:51" ht="15" customHeight="1">
      <c r="E25" s="224">
        <f>(E8+E17)*8%</f>
        <v>414.936</v>
      </c>
      <c r="F25" s="225"/>
      <c r="K25" s="17" t="s">
        <v>99</v>
      </c>
      <c r="L25" s="7"/>
      <c r="M25" s="16"/>
      <c r="N25" s="214"/>
      <c r="O25" s="215"/>
      <c r="P25" s="16"/>
      <c r="Q25" s="214"/>
      <c r="R25" s="215"/>
      <c r="V25" s="214"/>
      <c r="W25" s="215"/>
      <c r="X25" s="44"/>
      <c r="Y25" s="23"/>
      <c r="Z25" s="23"/>
      <c r="AA25" s="24"/>
      <c r="AB25" s="24"/>
      <c r="AC25" s="31"/>
      <c r="AD25" s="24"/>
      <c r="AE25" s="31"/>
      <c r="AF25" s="2"/>
      <c r="AG25" s="31"/>
      <c r="AH25" s="22"/>
      <c r="AI25" s="23"/>
      <c r="AJ25" s="23"/>
      <c r="AM25" s="17" t="s">
        <v>34</v>
      </c>
      <c r="AN25" s="7"/>
      <c r="AO25" s="16"/>
      <c r="AP25" s="214"/>
      <c r="AQ25" s="215"/>
      <c r="AS25" s="214"/>
      <c r="AT25" s="215"/>
      <c r="AU25" s="24"/>
      <c r="AV25" s="24"/>
      <c r="AW25" s="31"/>
      <c r="AX25" s="2"/>
      <c r="AY25" s="31"/>
    </row>
    <row r="26" spans="5:51" ht="28.5" customHeight="1">
      <c r="E26" s="205">
        <f>E28</f>
        <v>590.92</v>
      </c>
      <c r="F26" s="206"/>
      <c r="K26" s="209" t="s">
        <v>16</v>
      </c>
      <c r="L26" s="210"/>
      <c r="M26" s="16"/>
      <c r="N26" s="205">
        <f>N28+N30</f>
        <v>590.92</v>
      </c>
      <c r="O26" s="206"/>
      <c r="P26" s="16"/>
      <c r="Q26" s="205">
        <f>Q28+Q30</f>
        <v>590.92</v>
      </c>
      <c r="R26" s="206"/>
      <c r="V26" s="205"/>
      <c r="W26" s="206"/>
      <c r="AA26" s="63"/>
      <c r="AB26" s="21">
        <v>12</v>
      </c>
      <c r="AC26" s="26">
        <f>N26*12</f>
        <v>7091.039999999999</v>
      </c>
      <c r="AD26" s="21"/>
      <c r="AE26" s="26">
        <f>AE28</f>
        <v>7091.039999999999</v>
      </c>
      <c r="AF26" s="15"/>
      <c r="AG26" s="26"/>
      <c r="AH26" s="19"/>
      <c r="AI26" s="2"/>
      <c r="AJ26" s="2"/>
      <c r="AM26" s="209" t="s">
        <v>35</v>
      </c>
      <c r="AN26" s="210"/>
      <c r="AO26" s="16"/>
      <c r="AP26" s="205">
        <f>AP28+AP30</f>
        <v>590.92</v>
      </c>
      <c r="AQ26" s="206"/>
      <c r="AS26" s="205"/>
      <c r="AT26" s="206"/>
      <c r="AU26" s="63"/>
      <c r="AV26" s="21">
        <v>12</v>
      </c>
      <c r="AW26" s="26">
        <f>AW28</f>
        <v>7091.039999999999</v>
      </c>
      <c r="AX26" s="15"/>
      <c r="AY26" s="26"/>
    </row>
    <row r="27" spans="5:51" ht="15" customHeight="1">
      <c r="E27" s="214"/>
      <c r="F27" s="215"/>
      <c r="K27" s="222" t="s">
        <v>189</v>
      </c>
      <c r="L27" s="223"/>
      <c r="M27" s="18"/>
      <c r="N27" s="214"/>
      <c r="O27" s="215"/>
      <c r="P27" s="18"/>
      <c r="Q27" s="214"/>
      <c r="R27" s="215"/>
      <c r="V27" s="214"/>
      <c r="W27" s="215"/>
      <c r="AA27" s="63"/>
      <c r="AB27" s="21"/>
      <c r="AC27" s="31"/>
      <c r="AD27" s="21"/>
      <c r="AE27" s="31"/>
      <c r="AF27" s="2"/>
      <c r="AG27" s="31"/>
      <c r="AH27" s="68"/>
      <c r="AI27" s="2"/>
      <c r="AJ27" s="2"/>
      <c r="AM27" s="222" t="s">
        <v>40</v>
      </c>
      <c r="AN27" s="223"/>
      <c r="AO27" s="16"/>
      <c r="AP27" s="214"/>
      <c r="AQ27" s="215"/>
      <c r="AS27" s="214"/>
      <c r="AT27" s="215"/>
      <c r="AU27" s="63"/>
      <c r="AV27" s="21"/>
      <c r="AW27" s="31"/>
      <c r="AX27" s="2"/>
      <c r="AY27" s="31"/>
    </row>
    <row r="28" spans="5:51" ht="15" customHeight="1">
      <c r="E28" s="204">
        <f>E24/3</f>
        <v>590.92</v>
      </c>
      <c r="F28" s="204"/>
      <c r="K28" s="222" t="s">
        <v>11</v>
      </c>
      <c r="L28" s="223"/>
      <c r="M28" s="18"/>
      <c r="N28" s="204">
        <f>N24/3</f>
        <v>590.92</v>
      </c>
      <c r="O28" s="204"/>
      <c r="P28" s="18"/>
      <c r="Q28" s="204">
        <f>Q24/3</f>
        <v>590.92</v>
      </c>
      <c r="R28" s="204"/>
      <c r="V28" s="214"/>
      <c r="W28" s="215"/>
      <c r="AA28" s="63"/>
      <c r="AC28" s="12">
        <f>N28*12</f>
        <v>7091.039999999999</v>
      </c>
      <c r="AE28" s="12">
        <f>Q28*12</f>
        <v>7091.039999999999</v>
      </c>
      <c r="AF28" s="2"/>
      <c r="AG28" s="31"/>
      <c r="AH28" s="68"/>
      <c r="AI28" s="2"/>
      <c r="AJ28" s="2"/>
      <c r="AM28" s="222" t="s">
        <v>36</v>
      </c>
      <c r="AN28" s="223"/>
      <c r="AO28" s="16"/>
      <c r="AP28" s="224">
        <f>Q28</f>
        <v>590.92</v>
      </c>
      <c r="AQ28" s="225"/>
      <c r="AS28" s="214"/>
      <c r="AT28" s="215"/>
      <c r="AU28" s="63"/>
      <c r="AV28" s="2"/>
      <c r="AW28" s="12">
        <f>AP28*12</f>
        <v>7091.039999999999</v>
      </c>
      <c r="AX28" s="2"/>
      <c r="AY28" s="31"/>
    </row>
    <row r="29" spans="5:51" ht="15" customHeight="1">
      <c r="E29" s="214"/>
      <c r="F29" s="215"/>
      <c r="K29" s="222" t="s">
        <v>12</v>
      </c>
      <c r="L29" s="223"/>
      <c r="M29" s="18"/>
      <c r="N29" s="214"/>
      <c r="O29" s="215"/>
      <c r="P29" s="18"/>
      <c r="Q29" s="214"/>
      <c r="R29" s="215"/>
      <c r="V29" s="214"/>
      <c r="W29" s="215"/>
      <c r="AA29" s="63"/>
      <c r="AC29" s="31"/>
      <c r="AE29" s="31"/>
      <c r="AF29" s="2"/>
      <c r="AG29" s="31"/>
      <c r="AH29" s="68"/>
      <c r="AI29" s="2"/>
      <c r="AJ29" s="2"/>
      <c r="AM29" s="222" t="s">
        <v>37</v>
      </c>
      <c r="AN29" s="223"/>
      <c r="AO29" s="16"/>
      <c r="AP29" s="214"/>
      <c r="AQ29" s="215"/>
      <c r="AS29" s="214"/>
      <c r="AT29" s="215"/>
      <c r="AU29" s="63"/>
      <c r="AV29" s="2"/>
      <c r="AW29" s="31"/>
      <c r="AX29" s="2"/>
      <c r="AY29" s="31"/>
    </row>
    <row r="30" spans="5:51" ht="15" customHeight="1" thickBot="1">
      <c r="E30" s="224"/>
      <c r="F30" s="225"/>
      <c r="K30" s="222" t="s">
        <v>13</v>
      </c>
      <c r="L30" s="223"/>
      <c r="M30" s="18"/>
      <c r="N30" s="224"/>
      <c r="O30" s="225"/>
      <c r="P30" s="18"/>
      <c r="Q30" s="224">
        <v>0</v>
      </c>
      <c r="R30" s="225"/>
      <c r="V30" s="214"/>
      <c r="W30" s="215"/>
      <c r="Y30" s="1"/>
      <c r="Z30" s="1"/>
      <c r="AA30" s="63"/>
      <c r="AC30" s="12">
        <f>N30*12</f>
        <v>0</v>
      </c>
      <c r="AE30" s="12">
        <f>Q30*12</f>
        <v>0</v>
      </c>
      <c r="AF30" s="2"/>
      <c r="AG30" s="31"/>
      <c r="AH30" s="68"/>
      <c r="AM30" s="222" t="s">
        <v>38</v>
      </c>
      <c r="AN30" s="223"/>
      <c r="AO30" s="16"/>
      <c r="AP30" s="224">
        <v>0</v>
      </c>
      <c r="AQ30" s="225"/>
      <c r="AS30" s="214"/>
      <c r="AT30" s="215"/>
      <c r="AU30" s="63"/>
      <c r="AV30" s="2"/>
      <c r="AW30" s="12">
        <f>AP30*12</f>
        <v>0</v>
      </c>
      <c r="AX30" s="2"/>
      <c r="AY30" s="31"/>
    </row>
    <row r="31" spans="4:51" ht="28.5" customHeight="1" thickBot="1">
      <c r="D31" s="90" t="s">
        <v>72</v>
      </c>
      <c r="E31" s="217">
        <f>E8+E17+E22+E26</f>
        <v>7965.316</v>
      </c>
      <c r="F31" s="218"/>
      <c r="K31" s="207" t="s">
        <v>42</v>
      </c>
      <c r="L31" s="208"/>
      <c r="M31" s="18"/>
      <c r="N31" s="217">
        <f>N8+N17+N22+N26</f>
        <v>8094.8988478664005</v>
      </c>
      <c r="O31" s="218"/>
      <c r="P31" s="18"/>
      <c r="Q31" s="217">
        <f>Q8+Q17+Q22+Q26</f>
        <v>8701.586820298355</v>
      </c>
      <c r="R31" s="218"/>
      <c r="V31" s="217">
        <f>V8+V17+V22+V26</f>
        <v>8996.494897221432</v>
      </c>
      <c r="W31" s="218"/>
      <c r="X31" s="45"/>
      <c r="Y31" s="28">
        <f>V31-Q31</f>
        <v>294.9080769230768</v>
      </c>
      <c r="Z31" s="28">
        <f>V31-N31</f>
        <v>901.596049355031</v>
      </c>
      <c r="AA31" s="34"/>
      <c r="AB31" s="13"/>
      <c r="AC31" s="37">
        <f>AC8+AC17+AC22+AC26</f>
        <v>102870.0050222632</v>
      </c>
      <c r="AD31" s="13"/>
      <c r="AE31" s="37">
        <f>AE8+AE17+AE22+AE26</f>
        <v>110756.9486638786</v>
      </c>
      <c r="AF31" s="15"/>
      <c r="AG31" s="37">
        <f>AG8+AG17+AG22+AG26</f>
        <v>116954.4336638786</v>
      </c>
      <c r="AH31" s="29"/>
      <c r="AI31" s="28">
        <f>AG31-AE31</f>
        <v>6197.485000000001</v>
      </c>
      <c r="AJ31" s="28">
        <f>AG31-AC31</f>
        <v>14084.428641615406</v>
      </c>
      <c r="AK31" s="30"/>
      <c r="AL31" s="30"/>
      <c r="AM31" s="207" t="s">
        <v>43</v>
      </c>
      <c r="AN31" s="208"/>
      <c r="AO31" s="18"/>
      <c r="AP31" s="217">
        <f>AP8+AP17+AP22+AP26</f>
        <v>8701.586820298355</v>
      </c>
      <c r="AQ31" s="218"/>
      <c r="AS31" s="217">
        <f>AS8+AS17+AS22+AS26</f>
        <v>8996.494897221432</v>
      </c>
      <c r="AT31" s="218"/>
      <c r="AU31" s="34"/>
      <c r="AV31" s="13"/>
      <c r="AW31" s="37">
        <f>AW8+AW17+AW22+AW26</f>
        <v>110756.9486638786</v>
      </c>
      <c r="AX31" s="15"/>
      <c r="AY31" s="37">
        <f>AY8+AY17+AY22+AY26</f>
        <v>116954.4336638786</v>
      </c>
    </row>
    <row r="32" spans="22:41" ht="12.75" customHeight="1">
      <c r="V32" s="1"/>
      <c r="W32" s="1"/>
      <c r="AA32" s="63"/>
      <c r="AC32" s="3"/>
      <c r="AM32" s="1"/>
      <c r="AN32" s="1"/>
      <c r="AO32" s="1"/>
    </row>
    <row r="33" spans="10:39" ht="12.75" customHeight="1">
      <c r="J33" s="88" t="s">
        <v>62</v>
      </c>
      <c r="K33" s="1" t="s">
        <v>65</v>
      </c>
      <c r="V33" s="1"/>
      <c r="W33" s="1"/>
      <c r="AA33" s="63"/>
      <c r="AL33" s="88" t="s">
        <v>62</v>
      </c>
      <c r="AM33" s="1" t="s">
        <v>222</v>
      </c>
    </row>
    <row r="34" spans="10:39" ht="12.75" customHeight="1">
      <c r="J34" s="88"/>
      <c r="V34" s="1"/>
      <c r="W34" s="1"/>
      <c r="AL34" s="88"/>
      <c r="AM34" s="1"/>
    </row>
    <row r="35" spans="10:39" ht="12.75" customHeight="1">
      <c r="J35" s="88" t="s">
        <v>63</v>
      </c>
      <c r="K35" s="1" t="s">
        <v>111</v>
      </c>
      <c r="AL35" s="88" t="s">
        <v>63</v>
      </c>
      <c r="AM35" s="1" t="s">
        <v>210</v>
      </c>
    </row>
    <row r="36" spans="10:39" ht="12.75" customHeight="1">
      <c r="J36" s="88"/>
      <c r="AL36" s="88"/>
      <c r="AM36" s="1"/>
    </row>
    <row r="37" spans="10:39" ht="12.75" customHeight="1">
      <c r="J37" s="88" t="s">
        <v>64</v>
      </c>
      <c r="K37" s="1" t="s">
        <v>67</v>
      </c>
      <c r="AL37" s="88" t="s">
        <v>64</v>
      </c>
      <c r="AM37" s="1" t="s">
        <v>201</v>
      </c>
    </row>
    <row r="38" spans="11:39" ht="12.75" customHeight="1">
      <c r="K38" s="95" t="s">
        <v>69</v>
      </c>
      <c r="AM38" s="95" t="s">
        <v>87</v>
      </c>
    </row>
    <row r="39" spans="11:39" ht="12.75" customHeight="1">
      <c r="K39" s="95" t="s">
        <v>159</v>
      </c>
      <c r="AM39" s="95" t="s">
        <v>202</v>
      </c>
    </row>
    <row r="40" spans="11:39" ht="12.75" customHeight="1">
      <c r="K40" s="95" t="s">
        <v>161</v>
      </c>
      <c r="AM40" s="95" t="s">
        <v>220</v>
      </c>
    </row>
    <row r="41" spans="11:39" ht="12.75" customHeight="1">
      <c r="K41" s="1" t="s">
        <v>68</v>
      </c>
      <c r="AM41" s="1" t="s">
        <v>219</v>
      </c>
    </row>
    <row r="42" spans="11:39" ht="12.75" customHeight="1">
      <c r="K42" s="95">
        <v>28364.16</v>
      </c>
      <c r="AM42" s="95">
        <f aca="true" t="shared" si="10" ref="AM42:AM47">K42</f>
        <v>28364.16</v>
      </c>
    </row>
    <row r="43" spans="10:39" ht="12.75" customHeight="1">
      <c r="J43" s="88" t="s">
        <v>70</v>
      </c>
      <c r="K43" s="1">
        <v>14182.08</v>
      </c>
      <c r="AL43" s="88" t="s">
        <v>70</v>
      </c>
      <c r="AM43" s="95">
        <f t="shared" si="10"/>
        <v>14182.08</v>
      </c>
    </row>
    <row r="44" spans="10:39" ht="12.75" customHeight="1">
      <c r="J44" s="88" t="s">
        <v>70</v>
      </c>
      <c r="K44" s="1">
        <v>6197.49</v>
      </c>
      <c r="AL44" s="88" t="s">
        <v>70</v>
      </c>
      <c r="AM44" s="95">
        <f t="shared" si="10"/>
        <v>6197.49</v>
      </c>
    </row>
    <row r="45" spans="10:39" ht="12.75" customHeight="1">
      <c r="J45" s="88" t="s">
        <v>70</v>
      </c>
      <c r="K45" s="1">
        <v>2306.59</v>
      </c>
      <c r="AL45" s="88" t="s">
        <v>70</v>
      </c>
      <c r="AM45" s="95">
        <f t="shared" si="10"/>
        <v>2306.59</v>
      </c>
    </row>
    <row r="46" spans="11:39" ht="12.75" customHeight="1">
      <c r="K46" s="96">
        <f>K42-(K43+K44+K45)</f>
        <v>5678</v>
      </c>
      <c r="AM46" s="186">
        <f t="shared" si="10"/>
        <v>5678</v>
      </c>
    </row>
    <row r="47" spans="10:39" ht="12.75" customHeight="1">
      <c r="J47" s="88" t="s">
        <v>71</v>
      </c>
      <c r="K47" s="41">
        <f>K46/13</f>
        <v>436.7692307692308</v>
      </c>
      <c r="AL47" s="88" t="s">
        <v>71</v>
      </c>
      <c r="AM47" s="191">
        <f t="shared" si="10"/>
        <v>436.7692307692308</v>
      </c>
    </row>
    <row r="48" spans="11:39" ht="12.75" customHeight="1">
      <c r="K48" s="1" t="s">
        <v>105</v>
      </c>
      <c r="AM48" s="51" t="s">
        <v>203</v>
      </c>
    </row>
    <row r="56" ht="12.75">
      <c r="R56" s="41"/>
    </row>
    <row r="58" spans="17:18" ht="12.75">
      <c r="Q58" s="2"/>
      <c r="R58" s="2"/>
    </row>
    <row r="60" ht="12.75">
      <c r="R60" s="2"/>
    </row>
    <row r="61" ht="12.75">
      <c r="R61" s="2"/>
    </row>
    <row r="62" ht="12.75">
      <c r="R62" s="2"/>
    </row>
    <row r="63" ht="12.75">
      <c r="R63" s="2"/>
    </row>
    <row r="64" ht="12.75">
      <c r="R64" s="2"/>
    </row>
    <row r="65" ht="12.75">
      <c r="R65" s="15"/>
    </row>
  </sheetData>
  <mergeCells count="175">
    <mergeCell ref="AP5:AT5"/>
    <mergeCell ref="AW5:AY5"/>
    <mergeCell ref="Q25:R25"/>
    <mergeCell ref="V25:W25"/>
    <mergeCell ref="V16:W16"/>
    <mergeCell ref="AM8:AN8"/>
    <mergeCell ref="AM11:AN11"/>
    <mergeCell ref="Q9:R9"/>
    <mergeCell ref="Q8:R8"/>
    <mergeCell ref="V8:W8"/>
    <mergeCell ref="N24:O24"/>
    <mergeCell ref="N25:O25"/>
    <mergeCell ref="Q24:R24"/>
    <mergeCell ref="AS26:AT26"/>
    <mergeCell ref="AP26:AQ26"/>
    <mergeCell ref="V24:W24"/>
    <mergeCell ref="AS25:AT25"/>
    <mergeCell ref="AM26:AN26"/>
    <mergeCell ref="AP24:AQ24"/>
    <mergeCell ref="AS24:AT24"/>
    <mergeCell ref="K31:L31"/>
    <mergeCell ref="Q31:R31"/>
    <mergeCell ref="N31:O31"/>
    <mergeCell ref="AP28:AQ28"/>
    <mergeCell ref="AP29:AQ29"/>
    <mergeCell ref="AP30:AQ30"/>
    <mergeCell ref="V31:W31"/>
    <mergeCell ref="K29:L29"/>
    <mergeCell ref="Q29:R29"/>
    <mergeCell ref="V29:W29"/>
    <mergeCell ref="K30:L30"/>
    <mergeCell ref="Q30:R30"/>
    <mergeCell ref="V30:W30"/>
    <mergeCell ref="N29:O29"/>
    <mergeCell ref="N30:O30"/>
    <mergeCell ref="K27:L27"/>
    <mergeCell ref="Q27:R27"/>
    <mergeCell ref="V27:W27"/>
    <mergeCell ref="K28:L28"/>
    <mergeCell ref="Q28:R28"/>
    <mergeCell ref="V28:W28"/>
    <mergeCell ref="N27:O27"/>
    <mergeCell ref="N28:O28"/>
    <mergeCell ref="K26:L26"/>
    <mergeCell ref="Q26:R26"/>
    <mergeCell ref="V26:W26"/>
    <mergeCell ref="N26:O26"/>
    <mergeCell ref="K18:L18"/>
    <mergeCell ref="Q23:R23"/>
    <mergeCell ref="V23:W23"/>
    <mergeCell ref="N22:O22"/>
    <mergeCell ref="N23:O23"/>
    <mergeCell ref="K19:L19"/>
    <mergeCell ref="V13:W13"/>
    <mergeCell ref="Q17:R17"/>
    <mergeCell ref="K22:L22"/>
    <mergeCell ref="Q22:R22"/>
    <mergeCell ref="V22:W22"/>
    <mergeCell ref="V17:W17"/>
    <mergeCell ref="N17:O17"/>
    <mergeCell ref="K20:L20"/>
    <mergeCell ref="K21:L21"/>
    <mergeCell ref="K17:L17"/>
    <mergeCell ref="K16:L16"/>
    <mergeCell ref="N16:O16"/>
    <mergeCell ref="Q16:R16"/>
    <mergeCell ref="N13:O13"/>
    <mergeCell ref="K14:L14"/>
    <mergeCell ref="K15:L15"/>
    <mergeCell ref="Q15:R15"/>
    <mergeCell ref="K13:L13"/>
    <mergeCell ref="Q13:R13"/>
    <mergeCell ref="V10:W10"/>
    <mergeCell ref="Q10:R10"/>
    <mergeCell ref="N10:O10"/>
    <mergeCell ref="K12:L12"/>
    <mergeCell ref="Q12:R12"/>
    <mergeCell ref="V12:W12"/>
    <mergeCell ref="Q11:R11"/>
    <mergeCell ref="V11:W11"/>
    <mergeCell ref="N11:O11"/>
    <mergeCell ref="N12:O12"/>
    <mergeCell ref="AS11:AT11"/>
    <mergeCell ref="AS12:AT12"/>
    <mergeCell ref="AM9:AN9"/>
    <mergeCell ref="AS16:AT16"/>
    <mergeCell ref="AS13:AT13"/>
    <mergeCell ref="AP14:AQ14"/>
    <mergeCell ref="AS14:AT14"/>
    <mergeCell ref="AM12:AN12"/>
    <mergeCell ref="AS10:AT10"/>
    <mergeCell ref="AS9:AT9"/>
    <mergeCell ref="AP17:AQ17"/>
    <mergeCell ref="AS17:AT17"/>
    <mergeCell ref="AM16:AN16"/>
    <mergeCell ref="AP15:AQ15"/>
    <mergeCell ref="AS15:AT15"/>
    <mergeCell ref="AP16:AQ16"/>
    <mergeCell ref="AM22:AN22"/>
    <mergeCell ref="AM18:AN18"/>
    <mergeCell ref="AM17:AN17"/>
    <mergeCell ref="AM19:AN19"/>
    <mergeCell ref="AM20:AN20"/>
    <mergeCell ref="AM21:AN21"/>
    <mergeCell ref="AP22:AQ22"/>
    <mergeCell ref="AS22:AT22"/>
    <mergeCell ref="AP23:AQ23"/>
    <mergeCell ref="AS23:AT23"/>
    <mergeCell ref="AS27:AT27"/>
    <mergeCell ref="AP27:AQ27"/>
    <mergeCell ref="AM31:AN31"/>
    <mergeCell ref="AM30:AN30"/>
    <mergeCell ref="AM29:AN29"/>
    <mergeCell ref="AM28:AN28"/>
    <mergeCell ref="AS28:AT28"/>
    <mergeCell ref="AS29:AT29"/>
    <mergeCell ref="AS30:AT30"/>
    <mergeCell ref="AM27:AN27"/>
    <mergeCell ref="AM14:AN14"/>
    <mergeCell ref="AM15:AN15"/>
    <mergeCell ref="N14:O14"/>
    <mergeCell ref="Q14:R14"/>
    <mergeCell ref="V14:W14"/>
    <mergeCell ref="N15:O15"/>
    <mergeCell ref="V15:W15"/>
    <mergeCell ref="E31:F31"/>
    <mergeCell ref="AP7:AQ7"/>
    <mergeCell ref="AP8:AQ8"/>
    <mergeCell ref="AP9:AQ9"/>
    <mergeCell ref="AP10:AQ10"/>
    <mergeCell ref="AP11:AQ11"/>
    <mergeCell ref="AP12:AQ12"/>
    <mergeCell ref="AP13:AQ13"/>
    <mergeCell ref="AM10:AN10"/>
    <mergeCell ref="E30:F30"/>
    <mergeCell ref="E25:F25"/>
    <mergeCell ref="E15:F15"/>
    <mergeCell ref="E16:F16"/>
    <mergeCell ref="E17:F17"/>
    <mergeCell ref="E27:F27"/>
    <mergeCell ref="E29:F29"/>
    <mergeCell ref="A7:B7"/>
    <mergeCell ref="A1:G4"/>
    <mergeCell ref="E5:F5"/>
    <mergeCell ref="E8:F8"/>
    <mergeCell ref="E6:F7"/>
    <mergeCell ref="E28:F28"/>
    <mergeCell ref="E26:F26"/>
    <mergeCell ref="E9:F9"/>
    <mergeCell ref="E11:F11"/>
    <mergeCell ref="E23:F23"/>
    <mergeCell ref="E24:F24"/>
    <mergeCell ref="E22:F22"/>
    <mergeCell ref="E12:F12"/>
    <mergeCell ref="E13:F13"/>
    <mergeCell ref="E14:F14"/>
    <mergeCell ref="Q7:R7"/>
    <mergeCell ref="V7:W7"/>
    <mergeCell ref="N7:O7"/>
    <mergeCell ref="N9:O9"/>
    <mergeCell ref="K8:L8"/>
    <mergeCell ref="N8:O8"/>
    <mergeCell ref="K9:L9"/>
    <mergeCell ref="K11:L11"/>
    <mergeCell ref="K10:L10"/>
    <mergeCell ref="AP25:AQ25"/>
    <mergeCell ref="J3:AK3"/>
    <mergeCell ref="AP31:AQ31"/>
    <mergeCell ref="AS31:AT31"/>
    <mergeCell ref="Q5:W5"/>
    <mergeCell ref="AE5:AG5"/>
    <mergeCell ref="AM13:AN13"/>
    <mergeCell ref="V9:W9"/>
    <mergeCell ref="AS7:AT7"/>
    <mergeCell ref="AS8:AT8"/>
  </mergeCells>
  <printOptions/>
  <pageMargins left="0.31496062992125984" right="0" top="0.31496062992125984" bottom="0" header="0.5118110236220472" footer="0.5118110236220472"/>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dimension ref="A1:CB65"/>
  <sheetViews>
    <sheetView view="pageBreakPreview" zoomScaleSheetLayoutView="100" workbookViewId="0" topLeftCell="A1">
      <selection activeCell="AH16" sqref="AH16"/>
    </sheetView>
  </sheetViews>
  <sheetFormatPr defaultColWidth="11.421875" defaultRowHeight="12.75" outlineLevelRow="1" outlineLevelCol="1"/>
  <cols>
    <col min="1" max="1" width="15.7109375" style="1" customWidth="1"/>
    <col min="2" max="2" width="37.57421875" style="1" customWidth="1"/>
    <col min="3" max="3" width="5.00390625" style="1" customWidth="1"/>
    <col min="4" max="4" width="1.7109375" style="1" customWidth="1"/>
    <col min="5" max="5" width="5.57421875" style="1" hidden="1" customWidth="1" outlineLevel="1"/>
    <col min="6" max="6" width="10.57421875" style="1" hidden="1" customWidth="1" outlineLevel="1"/>
    <col min="7" max="7" width="2.28125" style="1" hidden="1" customWidth="1" outlineLevel="1"/>
    <col min="8" max="8" width="5.57421875" style="1" customWidth="1" collapsed="1"/>
    <col min="9" max="9" width="11.421875" style="1" customWidth="1"/>
    <col min="10" max="10" width="1.421875" style="1" customWidth="1"/>
    <col min="11" max="11" width="4.57421875" style="1" hidden="1" customWidth="1" outlineLevel="1"/>
    <col min="12" max="12" width="11.421875" style="1" hidden="1" customWidth="1" outlineLevel="1"/>
    <col min="13" max="13" width="5.57421875" style="1" customWidth="1" collapsed="1"/>
    <col min="14" max="14" width="14.421875" style="1" customWidth="1"/>
    <col min="15" max="15" width="1.7109375" style="1" customWidth="1"/>
    <col min="16" max="16" width="5.28125" style="1" hidden="1" customWidth="1" outlineLevel="1"/>
    <col min="17" max="17" width="9.421875" style="1" hidden="1" customWidth="1" outlineLevel="1"/>
    <col min="18" max="18" width="5.140625" style="2" customWidth="1" collapsed="1"/>
    <col min="19" max="19" width="14.00390625" style="2" customWidth="1"/>
    <col min="20" max="20" width="6.421875" style="2" customWidth="1"/>
    <col min="21" max="21" width="6.421875" style="2" hidden="1" customWidth="1" outlineLevel="1"/>
    <col min="22" max="22" width="10.57421875" style="2" hidden="1" customWidth="1" outlineLevel="1"/>
    <col min="23" max="23" width="6.00390625" style="2" customWidth="1" collapsed="1"/>
    <col min="24" max="24" width="15.00390625" style="2" customWidth="1"/>
    <col min="25" max="25" width="6.7109375" style="61" customWidth="1"/>
    <col min="26" max="26" width="15.28125" style="2" hidden="1" customWidth="1" outlineLevel="1"/>
    <col min="27" max="27" width="14.8515625" style="2" hidden="1" customWidth="1" outlineLevel="1"/>
    <col min="28" max="28" width="2.7109375" style="2" hidden="1" customWidth="1" collapsed="1"/>
    <col min="29" max="29" width="3.57421875" style="2" customWidth="1"/>
    <col min="30" max="30" width="14.8515625" style="2" hidden="1" customWidth="1" outlineLevel="1"/>
    <col min="31" max="31" width="2.00390625" style="2" hidden="1" customWidth="1" outlineLevel="1"/>
    <col min="32" max="32" width="16.00390625" style="1" customWidth="1" collapsed="1"/>
    <col min="33" max="33" width="1.8515625" style="1" customWidth="1"/>
    <col min="34" max="34" width="20.140625" style="1" customWidth="1"/>
    <col min="35" max="35" width="1.57421875" style="1" customWidth="1"/>
    <col min="36" max="36" width="19.00390625" style="1" customWidth="1"/>
    <col min="37" max="37" width="1.7109375" style="1" customWidth="1"/>
    <col min="38" max="38" width="19.28125" style="1" customWidth="1"/>
    <col min="39" max="39" width="1.1484375" style="2" customWidth="1"/>
    <col min="40" max="40" width="17.00390625" style="1" hidden="1" customWidth="1" outlineLevel="1"/>
    <col min="41" max="41" width="16.7109375" style="1" hidden="1" customWidth="1" outlineLevel="1"/>
    <col min="42" max="42" width="16.57421875" style="1" customWidth="1" collapsed="1"/>
    <col min="43" max="43" width="39.7109375" style="1" customWidth="1"/>
    <col min="44" max="44" width="5.00390625" style="1" customWidth="1"/>
    <col min="45" max="45" width="1.7109375" style="1" customWidth="1"/>
    <col min="46" max="46" width="5.57421875" style="1" hidden="1" customWidth="1" outlineLevel="1"/>
    <col min="47" max="47" width="10.57421875" style="1" hidden="1" customWidth="1" outlineLevel="1"/>
    <col min="48" max="48" width="2.28125" style="1" hidden="1" customWidth="1" outlineLevel="1"/>
    <col min="49" max="49" width="5.57421875" style="1" customWidth="1" collapsed="1"/>
    <col min="50" max="50" width="11.421875" style="1" customWidth="1"/>
    <col min="51" max="51" width="1.421875" style="1" customWidth="1"/>
    <col min="52" max="52" width="4.57421875" style="1" hidden="1" customWidth="1" outlineLevel="1"/>
    <col min="53" max="53" width="11.421875" style="1" hidden="1" customWidth="1" outlineLevel="1"/>
    <col min="54" max="54" width="5.57421875" style="1" customWidth="1" collapsed="1"/>
    <col min="55" max="55" width="14.421875" style="1" customWidth="1"/>
    <col min="56" max="56" width="1.7109375" style="1" customWidth="1"/>
    <col min="57" max="57" width="5.28125" style="1" hidden="1" customWidth="1" outlineLevel="1"/>
    <col min="58" max="58" width="9.421875" style="1" hidden="1" customWidth="1" outlineLevel="1"/>
    <col min="59" max="59" width="5.140625" style="2" customWidth="1" collapsed="1"/>
    <col min="60" max="60" width="14.00390625" style="2" customWidth="1"/>
    <col min="61" max="61" width="6.421875" style="2" customWidth="1"/>
    <col min="62" max="62" width="6.421875" style="2" hidden="1" customWidth="1" outlineLevel="1"/>
    <col min="63" max="63" width="10.57421875" style="2" hidden="1" customWidth="1" outlineLevel="1"/>
    <col min="64" max="64" width="6.00390625" style="2" customWidth="1" collapsed="1"/>
    <col min="65" max="65" width="15.00390625" style="2" customWidth="1"/>
    <col min="66" max="66" width="6.7109375" style="61" customWidth="1"/>
    <col min="67" max="67" width="15.28125" style="2" hidden="1" customWidth="1" outlineLevel="1"/>
    <col min="68" max="68" width="14.8515625" style="2" hidden="1" customWidth="1" outlineLevel="1"/>
    <col min="69" max="69" width="2.7109375" style="2" hidden="1" customWidth="1" collapsed="1"/>
    <col min="70" max="70" width="3.57421875" style="2" customWidth="1"/>
    <col min="71" max="71" width="14.8515625" style="2" hidden="1" customWidth="1" outlineLevel="1"/>
    <col min="72" max="72" width="2.00390625" style="2" hidden="1" customWidth="1" outlineLevel="1"/>
    <col min="73" max="73" width="16.00390625" style="1" customWidth="1" collapsed="1"/>
    <col min="74" max="74" width="1.8515625" style="1" customWidth="1"/>
    <col min="75" max="75" width="20.140625" style="1" customWidth="1"/>
    <col min="76" max="76" width="1.57421875" style="1" customWidth="1"/>
    <col min="77" max="77" width="19.00390625" style="1" customWidth="1"/>
    <col min="78" max="78" width="1.7109375" style="1" customWidth="1"/>
    <col min="79" max="79" width="19.28125" style="1" customWidth="1"/>
    <col min="80" max="80" width="1.1484375" style="2" customWidth="1"/>
    <col min="81" max="16384" width="11.421875" style="1" customWidth="1"/>
  </cols>
  <sheetData>
    <row r="1" spans="39:80" ht="26.25" customHeight="1">
      <c r="AM1" s="196" t="s">
        <v>249</v>
      </c>
      <c r="AN1" s="158"/>
      <c r="AO1" s="158"/>
      <c r="CB1" s="196" t="s">
        <v>250</v>
      </c>
    </row>
    <row r="2" spans="1:42" ht="6.75" customHeight="1">
      <c r="A2" s="93"/>
      <c r="AP2" s="93"/>
    </row>
    <row r="3" spans="1:80" s="2" customFormat="1" ht="98.25" customHeight="1">
      <c r="A3" s="200" t="s">
        <v>251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98"/>
      <c r="AO3" s="98"/>
      <c r="AP3" s="200" t="s">
        <v>252</v>
      </c>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row>
    <row r="4" spans="1:66" s="2" customFormat="1" ht="19.5" customHeight="1" thickBot="1">
      <c r="A4" s="93"/>
      <c r="B4" s="1"/>
      <c r="C4" s="1"/>
      <c r="D4" s="18"/>
      <c r="E4" s="18"/>
      <c r="F4" s="18"/>
      <c r="G4" s="18"/>
      <c r="H4" s="54"/>
      <c r="I4" s="54"/>
      <c r="J4" s="54"/>
      <c r="K4" s="54"/>
      <c r="L4" s="54"/>
      <c r="M4" s="54"/>
      <c r="N4" s="54"/>
      <c r="O4" s="54"/>
      <c r="P4" s="54"/>
      <c r="Q4" s="54"/>
      <c r="Y4" s="61"/>
      <c r="AP4" s="93"/>
      <c r="AQ4" s="1"/>
      <c r="AR4" s="1"/>
      <c r="AS4" s="18"/>
      <c r="AT4" s="18"/>
      <c r="AU4" s="18"/>
      <c r="AV4" s="18"/>
      <c r="AW4" s="54"/>
      <c r="AX4" s="54"/>
      <c r="AY4" s="54"/>
      <c r="AZ4" s="54"/>
      <c r="BA4" s="54"/>
      <c r="BB4" s="54"/>
      <c r="BC4" s="54"/>
      <c r="BD4" s="54"/>
      <c r="BE4" s="54"/>
      <c r="BF4" s="54"/>
      <c r="BN4" s="61"/>
    </row>
    <row r="5" spans="2:80" s="2" customFormat="1" ht="17.25" customHeight="1" thickBot="1">
      <c r="B5" s="18"/>
      <c r="C5" s="18"/>
      <c r="D5" s="71"/>
      <c r="F5" s="75"/>
      <c r="G5" s="75"/>
      <c r="H5" s="219" t="s">
        <v>1</v>
      </c>
      <c r="I5" s="220"/>
      <c r="J5" s="220"/>
      <c r="K5" s="220"/>
      <c r="L5" s="220"/>
      <c r="M5" s="220"/>
      <c r="N5" s="220"/>
      <c r="O5" s="220"/>
      <c r="P5" s="220"/>
      <c r="Q5" s="220"/>
      <c r="R5" s="220"/>
      <c r="S5" s="220"/>
      <c r="T5" s="220"/>
      <c r="U5" s="220"/>
      <c r="V5" s="220"/>
      <c r="W5" s="220"/>
      <c r="X5" s="221"/>
      <c r="Y5" s="77"/>
      <c r="AE5" s="75"/>
      <c r="AF5" s="219" t="s">
        <v>2</v>
      </c>
      <c r="AG5" s="220"/>
      <c r="AH5" s="220"/>
      <c r="AI5" s="220"/>
      <c r="AJ5" s="220"/>
      <c r="AK5" s="220"/>
      <c r="AL5" s="221"/>
      <c r="AM5" s="150"/>
      <c r="AN5" s="98"/>
      <c r="AQ5" s="18"/>
      <c r="AR5" s="18"/>
      <c r="AS5" s="71"/>
      <c r="AU5" s="75"/>
      <c r="AV5" s="75"/>
      <c r="AW5" s="219" t="s">
        <v>82</v>
      </c>
      <c r="AX5" s="220"/>
      <c r="AY5" s="220"/>
      <c r="AZ5" s="220"/>
      <c r="BA5" s="220"/>
      <c r="BB5" s="220"/>
      <c r="BC5" s="220"/>
      <c r="BD5" s="220"/>
      <c r="BE5" s="220"/>
      <c r="BF5" s="220"/>
      <c r="BG5" s="220"/>
      <c r="BH5" s="220"/>
      <c r="BI5" s="220"/>
      <c r="BJ5" s="220"/>
      <c r="BK5" s="220"/>
      <c r="BL5" s="220"/>
      <c r="BM5" s="221"/>
      <c r="BN5" s="77"/>
      <c r="BT5" s="75"/>
      <c r="BU5" s="219" t="s">
        <v>83</v>
      </c>
      <c r="BV5" s="220"/>
      <c r="BW5" s="220"/>
      <c r="BX5" s="220"/>
      <c r="BY5" s="220"/>
      <c r="BZ5" s="220"/>
      <c r="CA5" s="221"/>
      <c r="CB5" s="150"/>
    </row>
    <row r="6" spans="26:69" ht="6.75" customHeight="1" thickBot="1">
      <c r="Z6" s="27" t="s">
        <v>3</v>
      </c>
      <c r="AA6" s="27" t="s">
        <v>3</v>
      </c>
      <c r="AB6" s="46"/>
      <c r="AN6" s="175" t="s">
        <v>3</v>
      </c>
      <c r="AO6" s="27" t="s">
        <v>3</v>
      </c>
      <c r="BO6" s="27" t="s">
        <v>3</v>
      </c>
      <c r="BP6" s="27" t="s">
        <v>3</v>
      </c>
      <c r="BQ6" s="46"/>
    </row>
    <row r="7" spans="2:80" s="2" customFormat="1" ht="67.5" customHeight="1" thickBot="1">
      <c r="B7" s="67"/>
      <c r="E7" s="231" t="s">
        <v>17</v>
      </c>
      <c r="F7" s="231"/>
      <c r="G7" s="56"/>
      <c r="H7" s="230" t="s">
        <v>188</v>
      </c>
      <c r="I7" s="230"/>
      <c r="J7" s="56"/>
      <c r="K7" s="56"/>
      <c r="L7" s="56"/>
      <c r="M7" s="230" t="s">
        <v>179</v>
      </c>
      <c r="N7" s="230"/>
      <c r="O7" s="114"/>
      <c r="P7" s="114"/>
      <c r="Q7" s="56"/>
      <c r="R7" s="230" t="s">
        <v>106</v>
      </c>
      <c r="S7" s="230"/>
      <c r="T7" s="114"/>
      <c r="U7" s="114"/>
      <c r="V7" s="114"/>
      <c r="W7" s="230" t="s">
        <v>106</v>
      </c>
      <c r="X7" s="230"/>
      <c r="Y7" s="61"/>
      <c r="Z7" s="42" t="s">
        <v>19</v>
      </c>
      <c r="AA7" s="42" t="s">
        <v>18</v>
      </c>
      <c r="AB7" s="33"/>
      <c r="AC7" s="159" t="s">
        <v>178</v>
      </c>
      <c r="AD7" s="46" t="s">
        <v>17</v>
      </c>
      <c r="AE7" s="57"/>
      <c r="AF7" s="172" t="s">
        <v>188</v>
      </c>
      <c r="AG7" s="58"/>
      <c r="AH7" s="172" t="s">
        <v>107</v>
      </c>
      <c r="AI7" s="58"/>
      <c r="AJ7" s="172" t="s">
        <v>106</v>
      </c>
      <c r="AK7" s="114"/>
      <c r="AL7" s="172" t="s">
        <v>106</v>
      </c>
      <c r="AM7" s="114"/>
      <c r="AN7" s="114"/>
      <c r="AO7" s="42" t="s">
        <v>18</v>
      </c>
      <c r="AQ7" s="67"/>
      <c r="AT7" s="231" t="s">
        <v>17</v>
      </c>
      <c r="AU7" s="231"/>
      <c r="AV7" s="56"/>
      <c r="AW7" s="230" t="s">
        <v>199</v>
      </c>
      <c r="AX7" s="230"/>
      <c r="AY7" s="56"/>
      <c r="AZ7" s="56"/>
      <c r="BA7" s="56"/>
      <c r="BB7" s="230" t="s">
        <v>197</v>
      </c>
      <c r="BC7" s="230"/>
      <c r="BD7" s="114"/>
      <c r="BE7" s="114"/>
      <c r="BF7" s="56"/>
      <c r="BG7" s="230" t="s">
        <v>198</v>
      </c>
      <c r="BH7" s="230"/>
      <c r="BI7" s="114"/>
      <c r="BJ7" s="114"/>
      <c r="BK7" s="114"/>
      <c r="BL7" s="230" t="s">
        <v>198</v>
      </c>
      <c r="BM7" s="230"/>
      <c r="BN7" s="61"/>
      <c r="BO7" s="42" t="s">
        <v>19</v>
      </c>
      <c r="BP7" s="42" t="s">
        <v>18</v>
      </c>
      <c r="BQ7" s="33"/>
      <c r="BR7" s="159" t="s">
        <v>193</v>
      </c>
      <c r="BS7" s="46" t="s">
        <v>17</v>
      </c>
      <c r="BT7" s="57"/>
      <c r="BU7" s="172" t="s">
        <v>199</v>
      </c>
      <c r="BV7" s="58"/>
      <c r="BW7" s="172" t="s">
        <v>197</v>
      </c>
      <c r="BX7" s="58"/>
      <c r="BY7" s="172" t="s">
        <v>198</v>
      </c>
      <c r="BZ7" s="114"/>
      <c r="CA7" s="172" t="s">
        <v>198</v>
      </c>
      <c r="CB7" s="114"/>
    </row>
    <row r="8" spans="2:80" ht="28.5" customHeight="1" thickBot="1">
      <c r="B8" s="229" t="s">
        <v>0</v>
      </c>
      <c r="C8" s="229"/>
      <c r="D8" s="14"/>
      <c r="E8" s="227">
        <f>E10+E11+E12+E13+E9</f>
        <v>5239.6077839688005</v>
      </c>
      <c r="F8" s="228"/>
      <c r="G8" s="14"/>
      <c r="H8" s="227">
        <f>H9+H11+H12+H13+H10</f>
        <v>5847.005179896976</v>
      </c>
      <c r="I8" s="228"/>
      <c r="M8" s="227">
        <f>M9+M11+M12+M13+M10</f>
        <v>5847.005179896976</v>
      </c>
      <c r="N8" s="228"/>
      <c r="O8" s="3"/>
      <c r="P8" s="3"/>
      <c r="R8" s="227">
        <f>R9+R11+R12+R13+R14+R15+R16+R10</f>
        <v>8045.686273014386</v>
      </c>
      <c r="S8" s="228"/>
      <c r="T8" s="3"/>
      <c r="U8" s="3"/>
      <c r="V8" s="3"/>
      <c r="W8" s="227">
        <f>W9+W11+W12+W13+W14+W15+W16+W10</f>
        <v>8505.593196091308</v>
      </c>
      <c r="X8" s="228"/>
      <c r="Y8" s="47"/>
      <c r="Z8" s="38">
        <f aca="true" t="shared" si="0" ref="Z8:Z15">R8-H8</f>
        <v>2198.6810931174095</v>
      </c>
      <c r="AA8" s="38">
        <f aca="true" t="shared" si="1" ref="AA8:AA17">R8-E8</f>
        <v>2806.0784890455852</v>
      </c>
      <c r="AB8" s="181"/>
      <c r="AC8" s="185">
        <v>13</v>
      </c>
      <c r="AD8" s="182">
        <f aca="true" t="shared" si="2" ref="AD8:AD13">E8*13</f>
        <v>68114.9011915944</v>
      </c>
      <c r="AE8" s="57"/>
      <c r="AF8" s="26">
        <f aca="true" t="shared" si="3" ref="AF8:AF13">H8*13</f>
        <v>76011.0673386607</v>
      </c>
      <c r="AG8" s="15"/>
      <c r="AH8" s="26">
        <f aca="true" t="shared" si="4" ref="AH8:AH13">M8*13</f>
        <v>76011.0673386607</v>
      </c>
      <c r="AI8" s="15"/>
      <c r="AJ8" s="25">
        <f>(R9+R11+R12+R13+R14+R15+R16+R10)*13</f>
        <v>104593.92154918701</v>
      </c>
      <c r="AK8" s="10"/>
      <c r="AL8" s="25">
        <f>W8*13</f>
        <v>110572.71154918699</v>
      </c>
      <c r="AM8" s="10"/>
      <c r="AN8" s="176">
        <f aca="true" t="shared" si="5" ref="AN8:AN17">AJ8-AF8</f>
        <v>28582.85421052632</v>
      </c>
      <c r="AO8" s="28">
        <f aca="true" t="shared" si="6" ref="AO8:AO16">AJ8-AD8</f>
        <v>36479.02035759261</v>
      </c>
      <c r="AQ8" s="229" t="s">
        <v>23</v>
      </c>
      <c r="AR8" s="229"/>
      <c r="AS8" s="14"/>
      <c r="AT8" s="227">
        <f>AT10+AT11+AT12+AT13+AT9</f>
        <v>5239.6077839688005</v>
      </c>
      <c r="AU8" s="228"/>
      <c r="AV8" s="14"/>
      <c r="AW8" s="227">
        <f>AW9+AW11+AW12+AW13+AW10</f>
        <v>5847.005179896976</v>
      </c>
      <c r="AX8" s="228"/>
      <c r="BB8" s="227">
        <f>BB9+BB11+BB12+BB13+BB10</f>
        <v>5847.005179896976</v>
      </c>
      <c r="BC8" s="228"/>
      <c r="BD8" s="3"/>
      <c r="BE8" s="3"/>
      <c r="BG8" s="227">
        <f>BG9+BG11+BG12+BG13+BG14+BG15+BG16+BG10</f>
        <v>8045.686273014386</v>
      </c>
      <c r="BH8" s="228"/>
      <c r="BI8" s="3"/>
      <c r="BJ8" s="3"/>
      <c r="BK8" s="3"/>
      <c r="BL8" s="227">
        <f>BL9+BL11+BL12+BL13+BL14+BL15+BL16+BL10</f>
        <v>8505.593196091308</v>
      </c>
      <c r="BM8" s="228"/>
      <c r="BN8" s="47"/>
      <c r="BO8" s="38">
        <f>BG8-AW8</f>
        <v>2198.6810931174095</v>
      </c>
      <c r="BP8" s="38">
        <f>BG8-AT8</f>
        <v>2806.0784890455852</v>
      </c>
      <c r="BQ8" s="181"/>
      <c r="BR8" s="185">
        <v>13</v>
      </c>
      <c r="BS8" s="182">
        <f aca="true" t="shared" si="7" ref="BS8:BS13">AT8*13</f>
        <v>68114.9011915944</v>
      </c>
      <c r="BT8" s="57"/>
      <c r="BU8" s="26">
        <f aca="true" t="shared" si="8" ref="BU8:BU13">AW8*13</f>
        <v>76011.0673386607</v>
      </c>
      <c r="BV8" s="15"/>
      <c r="BW8" s="26">
        <f aca="true" t="shared" si="9" ref="BW8:BW13">BB8*13</f>
        <v>76011.0673386607</v>
      </c>
      <c r="BX8" s="15"/>
      <c r="BY8" s="25">
        <f>(BG9+BG11+BG12+BG13+BG14+BG15+BG16+BG10)*13</f>
        <v>104593.92154918701</v>
      </c>
      <c r="BZ8" s="10"/>
      <c r="CA8" s="25">
        <f>BL8*13</f>
        <v>110572.71154918699</v>
      </c>
      <c r="CB8" s="10"/>
    </row>
    <row r="9" spans="2:80" ht="15" customHeight="1">
      <c r="B9" s="222" t="s">
        <v>61</v>
      </c>
      <c r="C9" s="223"/>
      <c r="D9" s="16"/>
      <c r="E9" s="224">
        <f>1963.31*101.2%*102%*101.7%</f>
        <v>2061.0594353448005</v>
      </c>
      <c r="F9" s="225"/>
      <c r="G9" s="16"/>
      <c r="H9" s="224">
        <v>2279.24</v>
      </c>
      <c r="I9" s="225"/>
      <c r="M9" s="224">
        <f>H9</f>
        <v>2279.24</v>
      </c>
      <c r="N9" s="225"/>
      <c r="O9" s="6"/>
      <c r="P9" s="6"/>
      <c r="R9" s="224">
        <f>H9*40/38</f>
        <v>2399.2</v>
      </c>
      <c r="S9" s="225"/>
      <c r="T9" s="101" t="s">
        <v>14</v>
      </c>
      <c r="U9" s="101"/>
      <c r="V9" s="101"/>
      <c r="W9" s="224">
        <f>R9</f>
        <v>2399.2</v>
      </c>
      <c r="X9" s="225"/>
      <c r="Y9" s="101" t="s">
        <v>14</v>
      </c>
      <c r="Z9" s="39">
        <f>R9-H9</f>
        <v>119.96000000000004</v>
      </c>
      <c r="AA9" s="39">
        <f>R9-E10</f>
        <v>1809.324077848</v>
      </c>
      <c r="AB9" s="20"/>
      <c r="AC9" s="20"/>
      <c r="AD9" s="129">
        <f t="shared" si="2"/>
        <v>26793.772659482405</v>
      </c>
      <c r="AE9" s="20"/>
      <c r="AF9" s="12">
        <f t="shared" si="3"/>
        <v>29630.119999999995</v>
      </c>
      <c r="AG9" s="2"/>
      <c r="AH9" s="12">
        <f t="shared" si="4"/>
        <v>29630.119999999995</v>
      </c>
      <c r="AI9" s="2"/>
      <c r="AJ9" s="12">
        <f aca="true" t="shared" si="10" ref="AJ9:AJ17">R9*13</f>
        <v>31189.6</v>
      </c>
      <c r="AK9" s="2"/>
      <c r="AL9" s="12">
        <f>W9*13</f>
        <v>31189.6</v>
      </c>
      <c r="AM9" s="180"/>
      <c r="AN9" s="177">
        <f t="shared" si="5"/>
        <v>1559.4800000000032</v>
      </c>
      <c r="AO9" s="40">
        <f t="shared" si="6"/>
        <v>4395.827340517593</v>
      </c>
      <c r="AQ9" s="222" t="s">
        <v>80</v>
      </c>
      <c r="AR9" s="223"/>
      <c r="AS9" s="16"/>
      <c r="AT9" s="224">
        <f>1963.31*101.2%*102%*101.7%</f>
        <v>2061.0594353448005</v>
      </c>
      <c r="AU9" s="225"/>
      <c r="AV9" s="16"/>
      <c r="AW9" s="224">
        <v>2279.24</v>
      </c>
      <c r="AX9" s="225"/>
      <c r="BB9" s="224">
        <f>AW9</f>
        <v>2279.24</v>
      </c>
      <c r="BC9" s="225"/>
      <c r="BD9" s="6"/>
      <c r="BE9" s="6"/>
      <c r="BG9" s="224">
        <f>AW9*40/38</f>
        <v>2399.2</v>
      </c>
      <c r="BH9" s="225"/>
      <c r="BI9" s="101" t="s">
        <v>14</v>
      </c>
      <c r="BJ9" s="101"/>
      <c r="BK9" s="101"/>
      <c r="BL9" s="224">
        <f>BG9</f>
        <v>2399.2</v>
      </c>
      <c r="BM9" s="225"/>
      <c r="BN9" s="101" t="s">
        <v>14</v>
      </c>
      <c r="BO9" s="39">
        <f>BG9-AW9</f>
        <v>119.96000000000004</v>
      </c>
      <c r="BP9" s="39">
        <f>BG9-AT10</f>
        <v>1809.324077848</v>
      </c>
      <c r="BQ9" s="20"/>
      <c r="BR9" s="20"/>
      <c r="BS9" s="129">
        <f t="shared" si="7"/>
        <v>26793.772659482405</v>
      </c>
      <c r="BT9" s="20"/>
      <c r="BU9" s="12">
        <f t="shared" si="8"/>
        <v>29630.119999999995</v>
      </c>
      <c r="BV9" s="2"/>
      <c r="BW9" s="12">
        <f t="shared" si="9"/>
        <v>29630.119999999995</v>
      </c>
      <c r="BX9" s="2"/>
      <c r="BY9" s="12">
        <f aca="true" t="shared" si="11" ref="BY9:BY17">BG9*13</f>
        <v>31189.6</v>
      </c>
      <c r="BZ9" s="2"/>
      <c r="CA9" s="12">
        <f>BL9*13</f>
        <v>31189.6</v>
      </c>
      <c r="CB9" s="180"/>
    </row>
    <row r="10" spans="2:80" ht="15" customHeight="1">
      <c r="B10" s="222" t="s">
        <v>100</v>
      </c>
      <c r="C10" s="223"/>
      <c r="D10" s="16"/>
      <c r="E10" s="224">
        <f>561.9*101.2%*102%*101.7%</f>
        <v>589.875922152</v>
      </c>
      <c r="F10" s="225"/>
      <c r="G10" s="16"/>
      <c r="H10" s="224">
        <v>652.32</v>
      </c>
      <c r="I10" s="225"/>
      <c r="M10" s="224">
        <f>H10</f>
        <v>652.32</v>
      </c>
      <c r="N10" s="225"/>
      <c r="O10" s="6"/>
      <c r="P10" s="6"/>
      <c r="R10" s="224">
        <f>H10*40/38</f>
        <v>686.6526315789474</v>
      </c>
      <c r="S10" s="225"/>
      <c r="T10" s="101" t="s">
        <v>14</v>
      </c>
      <c r="U10" s="101"/>
      <c r="V10" s="101"/>
      <c r="W10" s="224">
        <f aca="true" t="shared" si="12" ref="W10:W15">R10</f>
        <v>686.6526315789474</v>
      </c>
      <c r="X10" s="225"/>
      <c r="Y10" s="101" t="s">
        <v>14</v>
      </c>
      <c r="Z10" s="39">
        <f t="shared" si="0"/>
        <v>34.33263157894737</v>
      </c>
      <c r="AA10" s="39">
        <f>R10-E11</f>
        <v>-80.30154390745281</v>
      </c>
      <c r="AB10" s="20"/>
      <c r="AC10" s="20"/>
      <c r="AD10" s="129">
        <f t="shared" si="2"/>
        <v>7668.3869879760005</v>
      </c>
      <c r="AE10" s="20"/>
      <c r="AF10" s="12">
        <f t="shared" si="3"/>
        <v>8480.16</v>
      </c>
      <c r="AG10" s="2"/>
      <c r="AH10" s="12">
        <f t="shared" si="4"/>
        <v>8480.16</v>
      </c>
      <c r="AI10" s="2"/>
      <c r="AJ10" s="12">
        <f t="shared" si="10"/>
        <v>8926.484210526316</v>
      </c>
      <c r="AK10" s="2"/>
      <c r="AL10" s="12">
        <f aca="true" t="shared" si="13" ref="AL10:AL16">W10*13</f>
        <v>8926.484210526316</v>
      </c>
      <c r="AM10" s="180"/>
      <c r="AN10" s="178"/>
      <c r="AO10" s="94"/>
      <c r="AQ10" s="222" t="s">
        <v>101</v>
      </c>
      <c r="AR10" s="223"/>
      <c r="AS10" s="16"/>
      <c r="AT10" s="224">
        <f>561.9*101.2%*102%*101.7%</f>
        <v>589.875922152</v>
      </c>
      <c r="AU10" s="225"/>
      <c r="AV10" s="16"/>
      <c r="AW10" s="224">
        <v>652.32</v>
      </c>
      <c r="AX10" s="225"/>
      <c r="BB10" s="224">
        <f>AW10</f>
        <v>652.32</v>
      </c>
      <c r="BC10" s="225"/>
      <c r="BD10" s="6"/>
      <c r="BE10" s="6"/>
      <c r="BG10" s="224">
        <f>AW10*40/38</f>
        <v>686.6526315789474</v>
      </c>
      <c r="BH10" s="225"/>
      <c r="BI10" s="101" t="s">
        <v>14</v>
      </c>
      <c r="BJ10" s="101"/>
      <c r="BK10" s="101"/>
      <c r="BL10" s="224">
        <f aca="true" t="shared" si="14" ref="BL10:BL15">BG10</f>
        <v>686.6526315789474</v>
      </c>
      <c r="BM10" s="225"/>
      <c r="BN10" s="101" t="s">
        <v>14</v>
      </c>
      <c r="BO10" s="39">
        <f aca="true" t="shared" si="15" ref="BO10:BO15">BG10-AW10</f>
        <v>34.33263157894737</v>
      </c>
      <c r="BP10" s="39">
        <f>BG10-AT11</f>
        <v>-80.30154390745281</v>
      </c>
      <c r="BQ10" s="20"/>
      <c r="BR10" s="20"/>
      <c r="BS10" s="129">
        <f t="shared" si="7"/>
        <v>7668.3869879760005</v>
      </c>
      <c r="BT10" s="20"/>
      <c r="BU10" s="12">
        <f t="shared" si="8"/>
        <v>8480.16</v>
      </c>
      <c r="BV10" s="2"/>
      <c r="BW10" s="12">
        <f t="shared" si="9"/>
        <v>8480.16</v>
      </c>
      <c r="BX10" s="2"/>
      <c r="BY10" s="12">
        <f t="shared" si="11"/>
        <v>8926.484210526316</v>
      </c>
      <c r="BZ10" s="2"/>
      <c r="CA10" s="12">
        <f aca="true" t="shared" si="16" ref="CA10:CA15">BL10*13</f>
        <v>8926.484210526316</v>
      </c>
      <c r="CB10" s="180"/>
    </row>
    <row r="11" spans="2:80" ht="15" customHeight="1">
      <c r="B11" s="222" t="s">
        <v>97</v>
      </c>
      <c r="C11" s="223"/>
      <c r="D11" s="16"/>
      <c r="E11" s="224">
        <f>730.58*101.2%*102%*101.7%</f>
        <v>766.9541754864002</v>
      </c>
      <c r="F11" s="225"/>
      <c r="G11" s="16"/>
      <c r="H11" s="224">
        <f>E11*102.1%*102%*102.3%*103.8%</f>
        <v>848.141506417423</v>
      </c>
      <c r="I11" s="225"/>
      <c r="M11" s="224">
        <f>H11</f>
        <v>848.141506417423</v>
      </c>
      <c r="N11" s="225"/>
      <c r="O11" s="6"/>
      <c r="P11" s="6"/>
      <c r="R11" s="224">
        <f>H11</f>
        <v>848.141506417423</v>
      </c>
      <c r="S11" s="225"/>
      <c r="T11" s="6"/>
      <c r="U11" s="6"/>
      <c r="V11" s="6"/>
      <c r="W11" s="224">
        <f t="shared" si="12"/>
        <v>848.141506417423</v>
      </c>
      <c r="X11" s="225"/>
      <c r="Y11" s="49"/>
      <c r="Z11" s="39">
        <f t="shared" si="0"/>
        <v>0</v>
      </c>
      <c r="AA11" s="39">
        <f t="shared" si="1"/>
        <v>81.18733093102276</v>
      </c>
      <c r="AB11" s="20"/>
      <c r="AC11" s="20"/>
      <c r="AD11" s="129">
        <f t="shared" si="2"/>
        <v>9970.404281323203</v>
      </c>
      <c r="AE11" s="20"/>
      <c r="AF11" s="12">
        <f t="shared" si="3"/>
        <v>11025.8395834265</v>
      </c>
      <c r="AG11" s="2"/>
      <c r="AH11" s="12">
        <f t="shared" si="4"/>
        <v>11025.8395834265</v>
      </c>
      <c r="AI11" s="2"/>
      <c r="AJ11" s="12">
        <f t="shared" si="10"/>
        <v>11025.8395834265</v>
      </c>
      <c r="AK11" s="2"/>
      <c r="AL11" s="12">
        <f t="shared" si="13"/>
        <v>11025.8395834265</v>
      </c>
      <c r="AM11" s="180"/>
      <c r="AN11" s="179">
        <f>AJ11-AF11</f>
        <v>0</v>
      </c>
      <c r="AO11" s="8">
        <f t="shared" si="6"/>
        <v>1055.4353021032966</v>
      </c>
      <c r="AQ11" s="222" t="s">
        <v>24</v>
      </c>
      <c r="AR11" s="223"/>
      <c r="AS11" s="16"/>
      <c r="AT11" s="224">
        <f>730.58*101.2%*102%*101.7%</f>
        <v>766.9541754864002</v>
      </c>
      <c r="AU11" s="225"/>
      <c r="AV11" s="16"/>
      <c r="AW11" s="224">
        <f>AT11*102.1%*102%*102.3%*103.8%</f>
        <v>848.141506417423</v>
      </c>
      <c r="AX11" s="225"/>
      <c r="BB11" s="224">
        <f>AW11</f>
        <v>848.141506417423</v>
      </c>
      <c r="BC11" s="225"/>
      <c r="BD11" s="6"/>
      <c r="BE11" s="6"/>
      <c r="BG11" s="224">
        <f>AW11</f>
        <v>848.141506417423</v>
      </c>
      <c r="BH11" s="225"/>
      <c r="BI11" s="6"/>
      <c r="BJ11" s="6"/>
      <c r="BK11" s="6"/>
      <c r="BL11" s="224">
        <f t="shared" si="14"/>
        <v>848.141506417423</v>
      </c>
      <c r="BM11" s="225"/>
      <c r="BN11" s="49"/>
      <c r="BO11" s="39">
        <f t="shared" si="15"/>
        <v>0</v>
      </c>
      <c r="BP11" s="39">
        <f>BG11-AT11</f>
        <v>81.18733093102276</v>
      </c>
      <c r="BQ11" s="20"/>
      <c r="BR11" s="20"/>
      <c r="BS11" s="129">
        <f t="shared" si="7"/>
        <v>9970.404281323203</v>
      </c>
      <c r="BT11" s="20"/>
      <c r="BU11" s="12">
        <f t="shared" si="8"/>
        <v>11025.8395834265</v>
      </c>
      <c r="BV11" s="2"/>
      <c r="BW11" s="12">
        <f t="shared" si="9"/>
        <v>11025.8395834265</v>
      </c>
      <c r="BX11" s="2"/>
      <c r="BY11" s="12">
        <f t="shared" si="11"/>
        <v>11025.8395834265</v>
      </c>
      <c r="BZ11" s="2"/>
      <c r="CA11" s="12">
        <f t="shared" si="16"/>
        <v>11025.8395834265</v>
      </c>
      <c r="CB11" s="180"/>
    </row>
    <row r="12" spans="2:80" ht="15" customHeight="1">
      <c r="B12" s="222" t="s">
        <v>98</v>
      </c>
      <c r="C12" s="223"/>
      <c r="D12" s="16"/>
      <c r="E12" s="224">
        <f>681.57*101.2%*102%*101.7%</f>
        <v>715.5040616856002</v>
      </c>
      <c r="F12" s="225"/>
      <c r="G12" s="16"/>
      <c r="H12" s="224">
        <f>10127.87/12</f>
        <v>843.9891666666667</v>
      </c>
      <c r="I12" s="225"/>
      <c r="M12" s="224">
        <f>H12</f>
        <v>843.9891666666667</v>
      </c>
      <c r="N12" s="225"/>
      <c r="O12" s="6"/>
      <c r="P12" s="6"/>
      <c r="R12" s="224">
        <f>H12</f>
        <v>843.9891666666667</v>
      </c>
      <c r="S12" s="225"/>
      <c r="T12" s="6"/>
      <c r="U12" s="6"/>
      <c r="V12" s="6"/>
      <c r="W12" s="224">
        <f t="shared" si="12"/>
        <v>843.9891666666667</v>
      </c>
      <c r="X12" s="225"/>
      <c r="Y12" s="157"/>
      <c r="Z12" s="39">
        <f t="shared" si="0"/>
        <v>0</v>
      </c>
      <c r="AA12" s="39">
        <f t="shared" si="1"/>
        <v>128.48510498106657</v>
      </c>
      <c r="AB12" s="20"/>
      <c r="AC12" s="20"/>
      <c r="AD12" s="129">
        <f t="shared" si="2"/>
        <v>9301.552801912801</v>
      </c>
      <c r="AE12" s="20"/>
      <c r="AF12" s="12">
        <f t="shared" si="3"/>
        <v>10971.859166666667</v>
      </c>
      <c r="AG12" s="2"/>
      <c r="AH12" s="12">
        <f t="shared" si="4"/>
        <v>10971.859166666667</v>
      </c>
      <c r="AI12" s="2"/>
      <c r="AJ12" s="12">
        <f t="shared" si="10"/>
        <v>10971.859166666667</v>
      </c>
      <c r="AK12" s="2"/>
      <c r="AL12" s="12">
        <f t="shared" si="13"/>
        <v>10971.859166666667</v>
      </c>
      <c r="AM12" s="180"/>
      <c r="AN12" s="179">
        <f t="shared" si="5"/>
        <v>0</v>
      </c>
      <c r="AO12" s="8">
        <f t="shared" si="6"/>
        <v>1670.3063647538656</v>
      </c>
      <c r="AQ12" s="222" t="s">
        <v>25</v>
      </c>
      <c r="AR12" s="223"/>
      <c r="AS12" s="16"/>
      <c r="AT12" s="224">
        <f>681.57*101.2%*102%*101.7%</f>
        <v>715.5040616856002</v>
      </c>
      <c r="AU12" s="225"/>
      <c r="AV12" s="16"/>
      <c r="AW12" s="224">
        <f>10127.87/12</f>
        <v>843.9891666666667</v>
      </c>
      <c r="AX12" s="225"/>
      <c r="BB12" s="224">
        <f>AW12</f>
        <v>843.9891666666667</v>
      </c>
      <c r="BC12" s="225"/>
      <c r="BD12" s="6"/>
      <c r="BE12" s="6"/>
      <c r="BG12" s="224">
        <f>AW12</f>
        <v>843.9891666666667</v>
      </c>
      <c r="BH12" s="225"/>
      <c r="BI12" s="6"/>
      <c r="BJ12" s="6"/>
      <c r="BK12" s="6"/>
      <c r="BL12" s="224">
        <f t="shared" si="14"/>
        <v>843.9891666666667</v>
      </c>
      <c r="BM12" s="225"/>
      <c r="BN12" s="157"/>
      <c r="BO12" s="39">
        <f t="shared" si="15"/>
        <v>0</v>
      </c>
      <c r="BP12" s="39">
        <f>BG12-AT12</f>
        <v>128.48510498106657</v>
      </c>
      <c r="BQ12" s="20"/>
      <c r="BR12" s="20"/>
      <c r="BS12" s="129">
        <f t="shared" si="7"/>
        <v>9301.552801912801</v>
      </c>
      <c r="BT12" s="20"/>
      <c r="BU12" s="12">
        <f t="shared" si="8"/>
        <v>10971.859166666667</v>
      </c>
      <c r="BV12" s="2"/>
      <c r="BW12" s="12">
        <f t="shared" si="9"/>
        <v>10971.859166666667</v>
      </c>
      <c r="BX12" s="2"/>
      <c r="BY12" s="12">
        <f t="shared" si="11"/>
        <v>10971.859166666667</v>
      </c>
      <c r="BZ12" s="2"/>
      <c r="CA12" s="12">
        <f t="shared" si="16"/>
        <v>10971.859166666667</v>
      </c>
      <c r="CB12" s="180"/>
    </row>
    <row r="13" spans="2:80" ht="15" customHeight="1">
      <c r="B13" s="222" t="s">
        <v>21</v>
      </c>
      <c r="C13" s="223"/>
      <c r="D13" s="16"/>
      <c r="E13" s="224">
        <f>1053.75*101.2%*102%*101.7%</f>
        <v>1106.2141893</v>
      </c>
      <c r="F13" s="225"/>
      <c r="G13" s="16"/>
      <c r="H13" s="224">
        <f>E13*102.1%*102%*102.3%*103.8%</f>
        <v>1223.3145068128872</v>
      </c>
      <c r="I13" s="225"/>
      <c r="M13" s="224">
        <f>H13</f>
        <v>1223.3145068128872</v>
      </c>
      <c r="N13" s="225"/>
      <c r="O13" s="6"/>
      <c r="P13" s="6"/>
      <c r="R13" s="224">
        <f>H13</f>
        <v>1223.3145068128872</v>
      </c>
      <c r="S13" s="225"/>
      <c r="T13" s="6"/>
      <c r="U13" s="6"/>
      <c r="V13" s="6"/>
      <c r="W13" s="224">
        <f t="shared" si="12"/>
        <v>1223.3145068128872</v>
      </c>
      <c r="X13" s="225"/>
      <c r="Y13" s="49"/>
      <c r="Z13" s="39">
        <f t="shared" si="0"/>
        <v>0</v>
      </c>
      <c r="AA13" s="39">
        <f t="shared" si="1"/>
        <v>117.10031751288716</v>
      </c>
      <c r="AB13" s="20"/>
      <c r="AC13" s="20"/>
      <c r="AD13" s="129">
        <f t="shared" si="2"/>
        <v>14380.7844609</v>
      </c>
      <c r="AE13" s="20"/>
      <c r="AF13" s="12">
        <f t="shared" si="3"/>
        <v>15903.088588567534</v>
      </c>
      <c r="AG13" s="2"/>
      <c r="AH13" s="12">
        <f t="shared" si="4"/>
        <v>15903.088588567534</v>
      </c>
      <c r="AI13" s="2"/>
      <c r="AJ13" s="12">
        <f t="shared" si="10"/>
        <v>15903.088588567534</v>
      </c>
      <c r="AK13" s="2"/>
      <c r="AL13" s="12">
        <f t="shared" si="13"/>
        <v>15903.088588567534</v>
      </c>
      <c r="AM13" s="180"/>
      <c r="AN13" s="179">
        <f t="shared" si="5"/>
        <v>0</v>
      </c>
      <c r="AO13" s="8">
        <f t="shared" si="6"/>
        <v>1522.304127667534</v>
      </c>
      <c r="AQ13" s="222" t="s">
        <v>26</v>
      </c>
      <c r="AR13" s="223"/>
      <c r="AS13" s="16"/>
      <c r="AT13" s="224">
        <f>1053.75*101.2%*102%*101.7%</f>
        <v>1106.2141893</v>
      </c>
      <c r="AU13" s="225"/>
      <c r="AV13" s="16"/>
      <c r="AW13" s="224">
        <f>AT13*102.1%*102%*102.3%*103.8%</f>
        <v>1223.3145068128872</v>
      </c>
      <c r="AX13" s="225"/>
      <c r="BB13" s="224">
        <f>AW13</f>
        <v>1223.3145068128872</v>
      </c>
      <c r="BC13" s="225"/>
      <c r="BD13" s="6"/>
      <c r="BE13" s="6"/>
      <c r="BG13" s="224">
        <f>AW13</f>
        <v>1223.3145068128872</v>
      </c>
      <c r="BH13" s="225"/>
      <c r="BI13" s="6"/>
      <c r="BJ13" s="6"/>
      <c r="BK13" s="6"/>
      <c r="BL13" s="224">
        <f t="shared" si="14"/>
        <v>1223.3145068128872</v>
      </c>
      <c r="BM13" s="225"/>
      <c r="BN13" s="49"/>
      <c r="BO13" s="39">
        <f t="shared" si="15"/>
        <v>0</v>
      </c>
      <c r="BP13" s="39">
        <f>BG13-AT13</f>
        <v>117.10031751288716</v>
      </c>
      <c r="BQ13" s="20"/>
      <c r="BR13" s="20"/>
      <c r="BS13" s="129">
        <f t="shared" si="7"/>
        <v>14380.7844609</v>
      </c>
      <c r="BT13" s="20"/>
      <c r="BU13" s="12">
        <f t="shared" si="8"/>
        <v>15903.088588567534</v>
      </c>
      <c r="BV13" s="2"/>
      <c r="BW13" s="12">
        <f t="shared" si="9"/>
        <v>15903.088588567534</v>
      </c>
      <c r="BX13" s="2"/>
      <c r="BY13" s="12">
        <f t="shared" si="11"/>
        <v>15903.088588567534</v>
      </c>
      <c r="BZ13" s="2"/>
      <c r="CA13" s="12">
        <f t="shared" si="16"/>
        <v>15903.088588567534</v>
      </c>
      <c r="CB13" s="180"/>
    </row>
    <row r="14" spans="1:80" ht="15" customHeight="1">
      <c r="A14" s="88" t="s">
        <v>112</v>
      </c>
      <c r="B14" s="222" t="s">
        <v>85</v>
      </c>
      <c r="C14" s="223"/>
      <c r="D14" s="16"/>
      <c r="E14" s="214"/>
      <c r="F14" s="215"/>
      <c r="G14" s="16"/>
      <c r="H14" s="214"/>
      <c r="I14" s="215"/>
      <c r="M14" s="214"/>
      <c r="N14" s="215"/>
      <c r="O14" s="6"/>
      <c r="P14" s="6"/>
      <c r="R14" s="204">
        <f>(136*2*4.345)/13*12</f>
        <v>1090.9292307692306</v>
      </c>
      <c r="S14" s="204"/>
      <c r="T14" s="6"/>
      <c r="U14" s="6"/>
      <c r="V14" s="6"/>
      <c r="W14" s="224">
        <f t="shared" si="12"/>
        <v>1090.9292307692306</v>
      </c>
      <c r="X14" s="225"/>
      <c r="Y14" s="73"/>
      <c r="Z14" s="39">
        <f t="shared" si="0"/>
        <v>1090.9292307692306</v>
      </c>
      <c r="AA14" s="39">
        <f t="shared" si="1"/>
        <v>1090.9292307692306</v>
      </c>
      <c r="AB14" s="20"/>
      <c r="AC14" s="20"/>
      <c r="AD14" s="129"/>
      <c r="AE14" s="20"/>
      <c r="AF14" s="31"/>
      <c r="AG14" s="2"/>
      <c r="AH14" s="12">
        <f>N14*13</f>
        <v>0</v>
      </c>
      <c r="AI14" s="2"/>
      <c r="AJ14" s="12">
        <f t="shared" si="10"/>
        <v>14182.079999999998</v>
      </c>
      <c r="AK14" s="2"/>
      <c r="AL14" s="12">
        <f t="shared" si="13"/>
        <v>14182.079999999998</v>
      </c>
      <c r="AM14" s="180"/>
      <c r="AN14" s="179">
        <f>AJ14-AF14</f>
        <v>14182.079999999998</v>
      </c>
      <c r="AO14" s="8">
        <f t="shared" si="6"/>
        <v>14182.079999999998</v>
      </c>
      <c r="AP14" s="88" t="s">
        <v>119</v>
      </c>
      <c r="AQ14" s="222" t="s">
        <v>27</v>
      </c>
      <c r="AR14" s="223"/>
      <c r="AS14" s="16"/>
      <c r="AT14" s="214"/>
      <c r="AU14" s="215"/>
      <c r="AV14" s="16"/>
      <c r="AW14" s="214"/>
      <c r="AX14" s="215"/>
      <c r="BB14" s="214"/>
      <c r="BC14" s="215"/>
      <c r="BD14" s="6"/>
      <c r="BE14" s="6"/>
      <c r="BG14" s="204">
        <f>(136*2*4.345)/13*12</f>
        <v>1090.9292307692306</v>
      </c>
      <c r="BH14" s="204"/>
      <c r="BI14" s="6"/>
      <c r="BJ14" s="6"/>
      <c r="BK14" s="6"/>
      <c r="BL14" s="224">
        <f t="shared" si="14"/>
        <v>1090.9292307692306</v>
      </c>
      <c r="BM14" s="225"/>
      <c r="BN14" s="73"/>
      <c r="BO14" s="39">
        <f t="shared" si="15"/>
        <v>1090.9292307692306</v>
      </c>
      <c r="BP14" s="39">
        <f>BG14-AT14</f>
        <v>1090.9292307692306</v>
      </c>
      <c r="BQ14" s="20"/>
      <c r="BR14" s="20"/>
      <c r="BS14" s="129"/>
      <c r="BT14" s="20"/>
      <c r="BU14" s="31"/>
      <c r="BV14" s="2"/>
      <c r="BW14" s="12">
        <f>BC14*13</f>
        <v>0</v>
      </c>
      <c r="BX14" s="2"/>
      <c r="BY14" s="12">
        <f t="shared" si="11"/>
        <v>14182.079999999998</v>
      </c>
      <c r="BZ14" s="2"/>
      <c r="CA14" s="12">
        <f t="shared" si="16"/>
        <v>14182.079999999998</v>
      </c>
      <c r="CB14" s="180"/>
    </row>
    <row r="15" spans="1:80" ht="15" customHeight="1">
      <c r="A15" s="88" t="s">
        <v>116</v>
      </c>
      <c r="B15" s="222" t="s">
        <v>41</v>
      </c>
      <c r="C15" s="223"/>
      <c r="D15" s="16"/>
      <c r="E15" s="214"/>
      <c r="F15" s="215"/>
      <c r="G15" s="16"/>
      <c r="H15" s="214"/>
      <c r="I15" s="215"/>
      <c r="M15" s="214"/>
      <c r="N15" s="215"/>
      <c r="O15" s="6"/>
      <c r="P15" s="6"/>
      <c r="R15" s="224">
        <f>12394.97/13</f>
        <v>953.4592307692308</v>
      </c>
      <c r="S15" s="225"/>
      <c r="T15" s="6"/>
      <c r="U15" s="6"/>
      <c r="V15" s="6"/>
      <c r="W15" s="224">
        <f t="shared" si="12"/>
        <v>953.4592307692308</v>
      </c>
      <c r="X15" s="225"/>
      <c r="Y15" s="73"/>
      <c r="Z15" s="39">
        <f t="shared" si="0"/>
        <v>953.4592307692308</v>
      </c>
      <c r="AA15" s="39">
        <f t="shared" si="1"/>
        <v>953.4592307692308</v>
      </c>
      <c r="AB15" s="20"/>
      <c r="AC15" s="20"/>
      <c r="AD15" s="129"/>
      <c r="AE15" s="20"/>
      <c r="AF15" s="31"/>
      <c r="AG15" s="2"/>
      <c r="AH15" s="12">
        <f>N15*13</f>
        <v>0</v>
      </c>
      <c r="AI15" s="2"/>
      <c r="AJ15" s="12">
        <f t="shared" si="10"/>
        <v>12394.97</v>
      </c>
      <c r="AK15" s="2"/>
      <c r="AL15" s="12">
        <f t="shared" si="13"/>
        <v>12394.97</v>
      </c>
      <c r="AM15" s="180"/>
      <c r="AN15" s="179">
        <f>AJ15-AF15</f>
        <v>12394.97</v>
      </c>
      <c r="AO15" s="97">
        <f t="shared" si="6"/>
        <v>12394.97</v>
      </c>
      <c r="AP15" s="88" t="s">
        <v>117</v>
      </c>
      <c r="AQ15" s="222" t="s">
        <v>44</v>
      </c>
      <c r="AR15" s="223"/>
      <c r="AS15" s="16"/>
      <c r="AT15" s="214"/>
      <c r="AU15" s="215"/>
      <c r="AV15" s="16"/>
      <c r="AW15" s="214"/>
      <c r="AX15" s="215"/>
      <c r="BB15" s="214"/>
      <c r="BC15" s="215"/>
      <c r="BD15" s="6"/>
      <c r="BE15" s="6"/>
      <c r="BG15" s="224">
        <f>12394.97/13</f>
        <v>953.4592307692308</v>
      </c>
      <c r="BH15" s="225"/>
      <c r="BI15" s="6"/>
      <c r="BJ15" s="6"/>
      <c r="BK15" s="6"/>
      <c r="BL15" s="224">
        <f t="shared" si="14"/>
        <v>953.4592307692308</v>
      </c>
      <c r="BM15" s="225"/>
      <c r="BN15" s="73"/>
      <c r="BO15" s="39">
        <f t="shared" si="15"/>
        <v>953.4592307692308</v>
      </c>
      <c r="BP15" s="39">
        <f>BG15-AT15</f>
        <v>953.4592307692308</v>
      </c>
      <c r="BQ15" s="20"/>
      <c r="BR15" s="20"/>
      <c r="BS15" s="129"/>
      <c r="BT15" s="20"/>
      <c r="BU15" s="31"/>
      <c r="BV15" s="2"/>
      <c r="BW15" s="12">
        <f>BC15*13</f>
        <v>0</v>
      </c>
      <c r="BX15" s="2"/>
      <c r="BY15" s="12">
        <f t="shared" si="11"/>
        <v>12394.97</v>
      </c>
      <c r="BZ15" s="2"/>
      <c r="CA15" s="12">
        <f t="shared" si="16"/>
        <v>12394.97</v>
      </c>
      <c r="CB15" s="180"/>
    </row>
    <row r="16" spans="1:80" ht="15" customHeight="1" thickBot="1">
      <c r="A16" s="88" t="s">
        <v>118</v>
      </c>
      <c r="B16" s="222" t="s">
        <v>108</v>
      </c>
      <c r="C16" s="223"/>
      <c r="D16" s="16"/>
      <c r="E16" s="214"/>
      <c r="F16" s="215"/>
      <c r="G16" s="16"/>
      <c r="H16" s="214"/>
      <c r="I16" s="215"/>
      <c r="K16" s="41"/>
      <c r="M16" s="214"/>
      <c r="N16" s="215"/>
      <c r="O16" s="88"/>
      <c r="P16" s="41" t="s">
        <v>20</v>
      </c>
      <c r="Q16" s="165">
        <f>((M24+M28+M30)-((U15/2)+U9+U10+U11+U12+U13+U14))-((((U15/2)+U9+U10+U11+U12+U14)/13)+(((M24+M28+M30)-((U15/2)+U9+U10+U11+U12+U14))/13))</f>
        <v>1636.3938461538462</v>
      </c>
      <c r="R16" s="224">
        <f>IF(L16&gt;0,L16,0)</f>
        <v>0</v>
      </c>
      <c r="S16" s="225"/>
      <c r="T16" s="151"/>
      <c r="U16" s="41" t="s">
        <v>20</v>
      </c>
      <c r="V16" s="165">
        <f>((R24+R28+R30)-((Z15/2)+Z9+Z10+Z11+Z12+Z13+Z14))-((((Z15/2)+Z9+Z10+Z11+Z12+Z14)/13)+(((R24+R28+R30)-((Z15/2)+Z9+Z10+Z11+Z12+Z14))/13))</f>
        <v>-1721.9514777327934</v>
      </c>
      <c r="W16" s="224">
        <f>B47</f>
        <v>459.90692307692314</v>
      </c>
      <c r="X16" s="225"/>
      <c r="Y16" s="73"/>
      <c r="Z16" s="39">
        <f>R16</f>
        <v>0</v>
      </c>
      <c r="AA16" s="20"/>
      <c r="AB16" s="20"/>
      <c r="AC16" s="20"/>
      <c r="AD16" s="129"/>
      <c r="AE16" s="20"/>
      <c r="AF16" s="31"/>
      <c r="AG16" s="2"/>
      <c r="AH16" s="12">
        <f>N16*13</f>
        <v>0</v>
      </c>
      <c r="AI16" s="2"/>
      <c r="AJ16" s="12">
        <f t="shared" si="10"/>
        <v>0</v>
      </c>
      <c r="AK16" s="2"/>
      <c r="AL16" s="12">
        <f t="shared" si="13"/>
        <v>5978.790000000001</v>
      </c>
      <c r="AM16" s="180"/>
      <c r="AN16" s="179">
        <f>AJ16-AF16</f>
        <v>0</v>
      </c>
      <c r="AO16" s="43">
        <f t="shared" si="6"/>
        <v>0</v>
      </c>
      <c r="AP16" s="88" t="s">
        <v>195</v>
      </c>
      <c r="AQ16" s="222" t="s">
        <v>84</v>
      </c>
      <c r="AR16" s="223"/>
      <c r="AS16" s="16"/>
      <c r="AT16" s="214"/>
      <c r="AU16" s="215"/>
      <c r="AV16" s="16"/>
      <c r="AW16" s="214"/>
      <c r="AX16" s="215"/>
      <c r="AZ16" s="41"/>
      <c r="BB16" s="214"/>
      <c r="BC16" s="215"/>
      <c r="BD16" s="88"/>
      <c r="BE16" s="41" t="s">
        <v>20</v>
      </c>
      <c r="BF16" s="165">
        <f>((BB24+BB28+BB30)-((BJ15/2)+BJ9+BJ10+BJ11+BJ12+BJ13+BJ14))-((((BJ15/2)+BJ9+BJ10+BJ11+BJ12+BJ14)/13)+(((BB24+BB28+BB30)-((BJ15/2)+BJ9+BJ10+BJ11+BJ12+BJ14))/13))</f>
        <v>1636.3938461538462</v>
      </c>
      <c r="BG16" s="224">
        <f>IF(BA16&gt;0,BA16,0)</f>
        <v>0</v>
      </c>
      <c r="BH16" s="225"/>
      <c r="BI16" s="151"/>
      <c r="BJ16" s="41" t="s">
        <v>20</v>
      </c>
      <c r="BK16" s="165">
        <f>((BG24+BG28+BG30)-((BO15/2)+BO9+BO10+BO11+BO12+BO13+BO14))-((((BO15/2)+BO9+BO10+BO11+BO12+BO14)/13)+(((BG24+BG28+BG30)-((BO15/2)+BO9+BO10+BO11+BO12+BO14))/13))</f>
        <v>-1721.9514777327934</v>
      </c>
      <c r="BL16" s="224">
        <f>AQ47</f>
        <v>459.90692307692314</v>
      </c>
      <c r="BM16" s="225"/>
      <c r="BN16" s="73"/>
      <c r="BO16" s="39">
        <f>BG16</f>
        <v>0</v>
      </c>
      <c r="BP16" s="20"/>
      <c r="BQ16" s="20"/>
      <c r="BR16" s="20"/>
      <c r="BS16" s="129"/>
      <c r="BT16" s="20"/>
      <c r="BU16" s="31"/>
      <c r="BV16" s="2"/>
      <c r="BW16" s="12">
        <f>BC16*13</f>
        <v>0</v>
      </c>
      <c r="BX16" s="2"/>
      <c r="BY16" s="12">
        <f t="shared" si="11"/>
        <v>0</v>
      </c>
      <c r="BZ16" s="2"/>
      <c r="CA16" s="12">
        <f>BL16*13</f>
        <v>5978.790000000001</v>
      </c>
      <c r="CB16" s="180"/>
    </row>
    <row r="17" spans="2:80" ht="28.5" customHeight="1" thickBot="1">
      <c r="B17" s="209" t="s">
        <v>4</v>
      </c>
      <c r="C17" s="210"/>
      <c r="D17" s="14"/>
      <c r="E17" s="227">
        <f>F19</f>
        <v>463.7385</v>
      </c>
      <c r="F17" s="228"/>
      <c r="G17" s="14"/>
      <c r="H17" s="227">
        <f>I19</f>
        <v>512.829</v>
      </c>
      <c r="I17" s="228"/>
      <c r="K17" s="3"/>
      <c r="L17" s="6"/>
      <c r="M17" s="227">
        <f>N20</f>
        <v>3418.8599999999997</v>
      </c>
      <c r="N17" s="228"/>
      <c r="O17" s="3"/>
      <c r="P17" s="3"/>
      <c r="Q17" s="6"/>
      <c r="R17" s="227">
        <f>S20</f>
        <v>3598.7999999999997</v>
      </c>
      <c r="S17" s="228"/>
      <c r="T17" s="3"/>
      <c r="U17" s="3"/>
      <c r="V17" s="3"/>
      <c r="W17" s="227">
        <f>X19</f>
        <v>539.8199999999999</v>
      </c>
      <c r="X17" s="228"/>
      <c r="Y17" s="50"/>
      <c r="Z17" s="28">
        <f>R17-H17</f>
        <v>3085.9709999999995</v>
      </c>
      <c r="AA17" s="28">
        <f t="shared" si="1"/>
        <v>3135.0615</v>
      </c>
      <c r="AB17" s="181"/>
      <c r="AC17" s="185">
        <v>13</v>
      </c>
      <c r="AD17" s="182">
        <f>E17*13</f>
        <v>6028.6005</v>
      </c>
      <c r="AE17" s="21"/>
      <c r="AF17" s="26">
        <f>AF19</f>
        <v>6666.776999999999</v>
      </c>
      <c r="AG17" s="15"/>
      <c r="AH17" s="26">
        <f>AH20</f>
        <v>44445.17999999999</v>
      </c>
      <c r="AI17" s="15"/>
      <c r="AJ17" s="26">
        <f t="shared" si="10"/>
        <v>46784.399999999994</v>
      </c>
      <c r="AK17" s="15"/>
      <c r="AL17" s="26">
        <f>AL19</f>
        <v>7017.659999999999</v>
      </c>
      <c r="AM17" s="15"/>
      <c r="AN17" s="176">
        <f t="shared" si="5"/>
        <v>40117.62299999999</v>
      </c>
      <c r="AO17" s="28">
        <v>0</v>
      </c>
      <c r="AQ17" s="209" t="s">
        <v>29</v>
      </c>
      <c r="AR17" s="210"/>
      <c r="AS17" s="14"/>
      <c r="AT17" s="227">
        <f>AU19</f>
        <v>463.7385</v>
      </c>
      <c r="AU17" s="228"/>
      <c r="AV17" s="14"/>
      <c r="AW17" s="227">
        <f>AX19</f>
        <v>512.829</v>
      </c>
      <c r="AX17" s="228"/>
      <c r="AZ17" s="3"/>
      <c r="BA17" s="6"/>
      <c r="BB17" s="227">
        <f>BC20</f>
        <v>3418.8599999999997</v>
      </c>
      <c r="BC17" s="228"/>
      <c r="BD17" s="3"/>
      <c r="BE17" s="3"/>
      <c r="BF17" s="6"/>
      <c r="BG17" s="227">
        <f>BH20</f>
        <v>3598.7999999999997</v>
      </c>
      <c r="BH17" s="228"/>
      <c r="BI17" s="3"/>
      <c r="BJ17" s="3"/>
      <c r="BK17" s="3"/>
      <c r="BL17" s="227">
        <f>BM19</f>
        <v>539.8199999999999</v>
      </c>
      <c r="BM17" s="228"/>
      <c r="BN17" s="50"/>
      <c r="BO17" s="28">
        <f>BG17-AW17</f>
        <v>3085.9709999999995</v>
      </c>
      <c r="BP17" s="28">
        <f>BG17-AT17</f>
        <v>3135.0615</v>
      </c>
      <c r="BQ17" s="181"/>
      <c r="BR17" s="185">
        <v>13</v>
      </c>
      <c r="BS17" s="182">
        <f>AT17*13</f>
        <v>6028.6005</v>
      </c>
      <c r="BT17" s="21"/>
      <c r="BU17" s="26">
        <f>BU19</f>
        <v>6666.776999999999</v>
      </c>
      <c r="BV17" s="15"/>
      <c r="BW17" s="26">
        <f>BW20</f>
        <v>44445.17999999999</v>
      </c>
      <c r="BX17" s="15"/>
      <c r="BY17" s="26">
        <f t="shared" si="11"/>
        <v>46784.399999999994</v>
      </c>
      <c r="BZ17" s="15"/>
      <c r="CA17" s="26">
        <f>CA19</f>
        <v>7017.659999999999</v>
      </c>
      <c r="CB17" s="15"/>
    </row>
    <row r="18" spans="2:79" ht="15" customHeight="1">
      <c r="B18" s="222" t="s">
        <v>5</v>
      </c>
      <c r="C18" s="223"/>
      <c r="D18" s="16"/>
      <c r="E18" s="9"/>
      <c r="F18" s="5"/>
      <c r="G18" s="16"/>
      <c r="H18" s="9"/>
      <c r="I18" s="5"/>
      <c r="M18" s="9"/>
      <c r="N18" s="5"/>
      <c r="O18" s="151"/>
      <c r="P18" s="151"/>
      <c r="R18" s="9"/>
      <c r="S18" s="5"/>
      <c r="T18" s="151"/>
      <c r="U18" s="151"/>
      <c r="V18" s="151"/>
      <c r="W18" s="9"/>
      <c r="X18" s="5"/>
      <c r="Y18" s="65"/>
      <c r="Z18" s="10"/>
      <c r="AA18" s="10"/>
      <c r="AB18" s="10"/>
      <c r="AD18" s="129"/>
      <c r="AF18" s="12"/>
      <c r="AG18" s="2"/>
      <c r="AH18" s="12"/>
      <c r="AI18" s="2"/>
      <c r="AJ18" s="12"/>
      <c r="AK18" s="2"/>
      <c r="AL18" s="12"/>
      <c r="AN18" s="10"/>
      <c r="AO18" s="10"/>
      <c r="AQ18" s="222" t="s">
        <v>30</v>
      </c>
      <c r="AR18" s="223"/>
      <c r="AS18" s="16"/>
      <c r="AT18" s="9"/>
      <c r="AU18" s="5"/>
      <c r="AV18" s="16"/>
      <c r="AW18" s="9"/>
      <c r="AX18" s="5"/>
      <c r="BB18" s="9"/>
      <c r="BC18" s="5"/>
      <c r="BD18" s="151"/>
      <c r="BE18" s="151"/>
      <c r="BG18" s="9"/>
      <c r="BH18" s="5"/>
      <c r="BI18" s="151"/>
      <c r="BJ18" s="151"/>
      <c r="BK18" s="151"/>
      <c r="BL18" s="9"/>
      <c r="BM18" s="5"/>
      <c r="BN18" s="65"/>
      <c r="BO18" s="10"/>
      <c r="BP18" s="10"/>
      <c r="BQ18" s="10"/>
      <c r="BS18" s="129"/>
      <c r="BU18" s="12"/>
      <c r="BV18" s="2"/>
      <c r="BW18" s="12"/>
      <c r="BX18" s="2"/>
      <c r="BY18" s="12"/>
      <c r="BZ18" s="2"/>
      <c r="CA18" s="12"/>
    </row>
    <row r="19" spans="2:79" ht="15" customHeight="1">
      <c r="B19" s="222" t="s">
        <v>92</v>
      </c>
      <c r="C19" s="223"/>
      <c r="D19" s="16"/>
      <c r="E19" s="9">
        <v>1.5</v>
      </c>
      <c r="F19" s="5">
        <f>2061.06*E19*15%</f>
        <v>463.7385</v>
      </c>
      <c r="G19" s="16"/>
      <c r="H19" s="9">
        <f>E19</f>
        <v>1.5</v>
      </c>
      <c r="I19" s="5">
        <f>2279.24*H19*15%</f>
        <v>512.829</v>
      </c>
      <c r="M19" s="9"/>
      <c r="N19" s="5"/>
      <c r="O19" s="151"/>
      <c r="P19" s="151"/>
      <c r="R19" s="4"/>
      <c r="S19" s="5"/>
      <c r="T19" s="151"/>
      <c r="U19" s="151"/>
      <c r="V19" s="151"/>
      <c r="W19" s="9">
        <f>H19</f>
        <v>1.5</v>
      </c>
      <c r="X19" s="5">
        <f>W9*W19*15%</f>
        <v>539.8199999999999</v>
      </c>
      <c r="Z19" s="10"/>
      <c r="AA19" s="10"/>
      <c r="AB19" s="10"/>
      <c r="AC19" s="62"/>
      <c r="AD19" s="129"/>
      <c r="AE19" s="62"/>
      <c r="AF19" s="12">
        <f>I19*13</f>
        <v>6666.776999999999</v>
      </c>
      <c r="AG19" s="2"/>
      <c r="AH19" s="12"/>
      <c r="AI19" s="2"/>
      <c r="AJ19" s="12"/>
      <c r="AK19" s="2"/>
      <c r="AL19" s="12">
        <f>X19*13</f>
        <v>7017.659999999999</v>
      </c>
      <c r="AN19" s="10"/>
      <c r="AO19" s="10"/>
      <c r="AQ19" s="222" t="s">
        <v>91</v>
      </c>
      <c r="AR19" s="223"/>
      <c r="AS19" s="16"/>
      <c r="AT19" s="9">
        <v>1.5</v>
      </c>
      <c r="AU19" s="5">
        <f>2061.06*AT19*15%</f>
        <v>463.7385</v>
      </c>
      <c r="AV19" s="16"/>
      <c r="AW19" s="9">
        <f>AT19</f>
        <v>1.5</v>
      </c>
      <c r="AX19" s="5">
        <f>2279.24*AW19*15%</f>
        <v>512.829</v>
      </c>
      <c r="BB19" s="9"/>
      <c r="BC19" s="5"/>
      <c r="BD19" s="151"/>
      <c r="BE19" s="151"/>
      <c r="BG19" s="4"/>
      <c r="BH19" s="5"/>
      <c r="BI19" s="151"/>
      <c r="BJ19" s="151"/>
      <c r="BK19" s="151"/>
      <c r="BL19" s="9">
        <f>AW19</f>
        <v>1.5</v>
      </c>
      <c r="BM19" s="5">
        <f>BL9*BL19*15%</f>
        <v>539.8199999999999</v>
      </c>
      <c r="BO19" s="10"/>
      <c r="BP19" s="10"/>
      <c r="BQ19" s="10"/>
      <c r="BR19" s="62"/>
      <c r="BS19" s="129"/>
      <c r="BT19" s="62"/>
      <c r="BU19" s="12">
        <f>AX19*13</f>
        <v>6666.776999999999</v>
      </c>
      <c r="BV19" s="2"/>
      <c r="BW19" s="12"/>
      <c r="BX19" s="2"/>
      <c r="BY19" s="12"/>
      <c r="BZ19" s="2"/>
      <c r="CA19" s="12">
        <f>BM19*13</f>
        <v>7017.659999999999</v>
      </c>
    </row>
    <row r="20" spans="2:79" ht="15" customHeight="1" thickBot="1">
      <c r="B20" s="222" t="s">
        <v>6</v>
      </c>
      <c r="C20" s="223"/>
      <c r="D20" s="16"/>
      <c r="E20" s="9"/>
      <c r="F20" s="5"/>
      <c r="G20" s="16"/>
      <c r="H20" s="9"/>
      <c r="I20" s="5"/>
      <c r="M20" s="9">
        <v>1.5</v>
      </c>
      <c r="N20" s="5">
        <f>M9*M20</f>
        <v>3418.8599999999997</v>
      </c>
      <c r="O20" s="151"/>
      <c r="P20" s="151"/>
      <c r="R20" s="9">
        <v>1.5</v>
      </c>
      <c r="S20" s="5">
        <f>R9*R20</f>
        <v>3598.7999999999997</v>
      </c>
      <c r="T20" s="151"/>
      <c r="U20" s="151"/>
      <c r="V20" s="151"/>
      <c r="W20" s="9"/>
      <c r="X20" s="213"/>
      <c r="Y20" s="106"/>
      <c r="Z20" s="10"/>
      <c r="AA20" s="10"/>
      <c r="AB20" s="10"/>
      <c r="AD20" s="129"/>
      <c r="AF20" s="12"/>
      <c r="AG20" s="2"/>
      <c r="AH20" s="12">
        <f>N20*13</f>
        <v>44445.17999999999</v>
      </c>
      <c r="AI20" s="2"/>
      <c r="AJ20" s="12">
        <f>S20*13</f>
        <v>46784.399999999994</v>
      </c>
      <c r="AK20" s="2"/>
      <c r="AL20" s="213"/>
      <c r="AN20" s="10"/>
      <c r="AO20" s="10"/>
      <c r="AQ20" s="222" t="s">
        <v>31</v>
      </c>
      <c r="AR20" s="223"/>
      <c r="AS20" s="16"/>
      <c r="AT20" s="9"/>
      <c r="AU20" s="5"/>
      <c r="AV20" s="16"/>
      <c r="AW20" s="9"/>
      <c r="AX20" s="5"/>
      <c r="BB20" s="9">
        <v>1.5</v>
      </c>
      <c r="BC20" s="5">
        <f>BB9*BB20</f>
        <v>3418.8599999999997</v>
      </c>
      <c r="BD20" s="151"/>
      <c r="BE20" s="151"/>
      <c r="BG20" s="9">
        <v>1.5</v>
      </c>
      <c r="BH20" s="5">
        <f>BG9*BG20</f>
        <v>3598.7999999999997</v>
      </c>
      <c r="BI20" s="151"/>
      <c r="BJ20" s="151"/>
      <c r="BK20" s="151"/>
      <c r="BL20" s="195"/>
      <c r="BM20" s="213"/>
      <c r="BN20" s="106"/>
      <c r="BO20" s="10"/>
      <c r="BP20" s="10"/>
      <c r="BQ20" s="10"/>
      <c r="BS20" s="129"/>
      <c r="BU20" s="12"/>
      <c r="BV20" s="2"/>
      <c r="BW20" s="12">
        <f>BC20*13</f>
        <v>44445.17999999999</v>
      </c>
      <c r="BX20" s="2"/>
      <c r="BY20" s="12">
        <f>BH20*13</f>
        <v>46784.399999999994</v>
      </c>
      <c r="BZ20" s="2"/>
      <c r="CA20" s="213"/>
    </row>
    <row r="21" spans="2:79" ht="15" customHeight="1" hidden="1" outlineLevel="1">
      <c r="B21" s="222" t="s">
        <v>66</v>
      </c>
      <c r="C21" s="223"/>
      <c r="D21" s="16"/>
      <c r="E21" s="5"/>
      <c r="F21" s="5"/>
      <c r="G21" s="16"/>
      <c r="H21" s="5"/>
      <c r="I21" s="5"/>
      <c r="M21" s="5"/>
      <c r="N21" s="5"/>
      <c r="O21" s="151"/>
      <c r="P21" s="151"/>
      <c r="R21" s="5"/>
      <c r="S21" s="5"/>
      <c r="T21" s="151"/>
      <c r="U21" s="151"/>
      <c r="V21" s="151"/>
      <c r="W21" s="5"/>
      <c r="X21" s="5"/>
      <c r="Z21" s="10"/>
      <c r="AA21" s="10"/>
      <c r="AB21" s="10"/>
      <c r="AD21" s="129"/>
      <c r="AF21" s="12"/>
      <c r="AG21" s="2"/>
      <c r="AH21" s="12"/>
      <c r="AI21" s="2"/>
      <c r="AJ21" s="12"/>
      <c r="AK21" s="2"/>
      <c r="AL21" s="12"/>
      <c r="AN21" s="10"/>
      <c r="AO21" s="10"/>
      <c r="AQ21" s="222" t="s">
        <v>66</v>
      </c>
      <c r="AR21" s="223"/>
      <c r="AS21" s="16"/>
      <c r="AT21" s="5"/>
      <c r="AU21" s="5"/>
      <c r="AV21" s="16"/>
      <c r="AW21" s="5"/>
      <c r="AX21" s="5"/>
      <c r="BB21" s="5"/>
      <c r="BC21" s="5"/>
      <c r="BD21" s="151"/>
      <c r="BE21" s="151"/>
      <c r="BG21" s="5"/>
      <c r="BH21" s="5"/>
      <c r="BI21" s="151"/>
      <c r="BJ21" s="151"/>
      <c r="BK21" s="151"/>
      <c r="BL21" s="5"/>
      <c r="BM21" s="5"/>
      <c r="BO21" s="10"/>
      <c r="BP21" s="10"/>
      <c r="BQ21" s="10"/>
      <c r="BS21" s="129"/>
      <c r="BU21" s="12"/>
      <c r="BV21" s="2"/>
      <c r="BW21" s="12"/>
      <c r="BX21" s="2"/>
      <c r="BY21" s="12"/>
      <c r="BZ21" s="2"/>
      <c r="CA21" s="12"/>
    </row>
    <row r="22" spans="2:80" ht="28.5" customHeight="1" collapsed="1" thickBot="1">
      <c r="B22" s="209" t="s">
        <v>7</v>
      </c>
      <c r="C22" s="210"/>
      <c r="D22" s="14"/>
      <c r="E22" s="227">
        <f>E24</f>
        <v>1772.76</v>
      </c>
      <c r="F22" s="228"/>
      <c r="G22" s="14"/>
      <c r="H22" s="227">
        <f>H24</f>
        <v>1772.76</v>
      </c>
      <c r="I22" s="228"/>
      <c r="J22" s="3"/>
      <c r="K22" s="3"/>
      <c r="L22" s="3"/>
      <c r="M22" s="227">
        <f>M24</f>
        <v>1772.76</v>
      </c>
      <c r="N22" s="228"/>
      <c r="O22" s="3"/>
      <c r="P22" s="3"/>
      <c r="Q22" s="3"/>
      <c r="R22" s="227">
        <f>R23</f>
        <v>0</v>
      </c>
      <c r="S22" s="228"/>
      <c r="T22" s="3"/>
      <c r="U22" s="3"/>
      <c r="V22" s="3"/>
      <c r="W22" s="227">
        <f>W23</f>
        <v>0</v>
      </c>
      <c r="X22" s="228"/>
      <c r="Z22" s="28">
        <f>R22-H22</f>
        <v>-1772.76</v>
      </c>
      <c r="AA22" s="28">
        <f>R22-E22</f>
        <v>-1772.76</v>
      </c>
      <c r="AB22" s="181"/>
      <c r="AC22" s="185">
        <v>12</v>
      </c>
      <c r="AD22" s="182">
        <f>E22*12</f>
        <v>21273.12</v>
      </c>
      <c r="AE22" s="21"/>
      <c r="AF22" s="26">
        <f>H22*12</f>
        <v>21273.12</v>
      </c>
      <c r="AG22" s="15"/>
      <c r="AH22" s="25">
        <f>AH24</f>
        <v>21273.12</v>
      </c>
      <c r="AI22" s="15"/>
      <c r="AJ22" s="25">
        <f>R22*12</f>
        <v>0</v>
      </c>
      <c r="AK22" s="10"/>
      <c r="AL22" s="25">
        <f>T22*12</f>
        <v>0</v>
      </c>
      <c r="AM22" s="10"/>
      <c r="AN22" s="176">
        <f>AJ22-AF22</f>
        <v>-21273.12</v>
      </c>
      <c r="AO22" s="28">
        <f>AJ22-AD22</f>
        <v>-21273.12</v>
      </c>
      <c r="AQ22" s="209" t="s">
        <v>33</v>
      </c>
      <c r="AR22" s="210"/>
      <c r="AS22" s="14"/>
      <c r="AT22" s="227">
        <f>AT24</f>
        <v>1772.76</v>
      </c>
      <c r="AU22" s="228"/>
      <c r="AV22" s="14"/>
      <c r="AW22" s="227">
        <f>AW24</f>
        <v>1772.76</v>
      </c>
      <c r="AX22" s="228"/>
      <c r="AY22" s="3"/>
      <c r="AZ22" s="3"/>
      <c r="BA22" s="3"/>
      <c r="BB22" s="227">
        <f>BB24</f>
        <v>1772.76</v>
      </c>
      <c r="BC22" s="228"/>
      <c r="BD22" s="3"/>
      <c r="BE22" s="3"/>
      <c r="BF22" s="3"/>
      <c r="BG22" s="227">
        <f>BG23</f>
        <v>0</v>
      </c>
      <c r="BH22" s="228"/>
      <c r="BI22" s="3"/>
      <c r="BJ22" s="3"/>
      <c r="BK22" s="3"/>
      <c r="BL22" s="227">
        <f>BL23</f>
        <v>0</v>
      </c>
      <c r="BM22" s="228"/>
      <c r="BO22" s="28">
        <f>BG22-AW22</f>
        <v>-1772.76</v>
      </c>
      <c r="BP22" s="28">
        <f>BG22-AT22</f>
        <v>-1772.76</v>
      </c>
      <c r="BQ22" s="181"/>
      <c r="BR22" s="185">
        <v>12</v>
      </c>
      <c r="BS22" s="182">
        <f>AT22*12</f>
        <v>21273.12</v>
      </c>
      <c r="BT22" s="21"/>
      <c r="BU22" s="26">
        <f>AW22*12</f>
        <v>21273.12</v>
      </c>
      <c r="BV22" s="15"/>
      <c r="BW22" s="25">
        <f>BW24</f>
        <v>21273.12</v>
      </c>
      <c r="BX22" s="15"/>
      <c r="BY22" s="25">
        <f>BG22*12</f>
        <v>0</v>
      </c>
      <c r="BZ22" s="10"/>
      <c r="CA22" s="25">
        <f>BI22*12</f>
        <v>0</v>
      </c>
      <c r="CB22" s="10"/>
    </row>
    <row r="23" spans="2:79" ht="15" customHeight="1">
      <c r="B23" s="17" t="s">
        <v>90</v>
      </c>
      <c r="C23" s="7">
        <v>0</v>
      </c>
      <c r="D23" s="16"/>
      <c r="E23" s="224">
        <v>0</v>
      </c>
      <c r="F23" s="225"/>
      <c r="G23" s="16"/>
      <c r="H23" s="224">
        <v>0</v>
      </c>
      <c r="I23" s="225"/>
      <c r="M23" s="224">
        <v>0</v>
      </c>
      <c r="N23" s="225"/>
      <c r="O23" s="6"/>
      <c r="P23" s="6"/>
      <c r="R23" s="224">
        <v>0</v>
      </c>
      <c r="S23" s="225"/>
      <c r="T23" s="6"/>
      <c r="U23" s="6"/>
      <c r="V23" s="6"/>
      <c r="W23" s="224">
        <v>0</v>
      </c>
      <c r="X23" s="225"/>
      <c r="AD23" s="129">
        <v>0</v>
      </c>
      <c r="AF23" s="12">
        <v>0</v>
      </c>
      <c r="AG23" s="2"/>
      <c r="AH23" s="12">
        <v>0</v>
      </c>
      <c r="AI23" s="2"/>
      <c r="AJ23" s="12">
        <v>0</v>
      </c>
      <c r="AK23" s="2"/>
      <c r="AL23" s="12">
        <v>0</v>
      </c>
      <c r="AN23" s="2"/>
      <c r="AO23" s="2"/>
      <c r="AQ23" s="17" t="s">
        <v>89</v>
      </c>
      <c r="AR23" s="7">
        <v>0</v>
      </c>
      <c r="AS23" s="16"/>
      <c r="AT23" s="224">
        <v>0</v>
      </c>
      <c r="AU23" s="225"/>
      <c r="AV23" s="16"/>
      <c r="AW23" s="224">
        <v>0</v>
      </c>
      <c r="AX23" s="225"/>
      <c r="BB23" s="224">
        <v>0</v>
      </c>
      <c r="BC23" s="225"/>
      <c r="BD23" s="6"/>
      <c r="BE23" s="6"/>
      <c r="BG23" s="224">
        <v>0</v>
      </c>
      <c r="BH23" s="225"/>
      <c r="BI23" s="6"/>
      <c r="BJ23" s="6"/>
      <c r="BK23" s="6"/>
      <c r="BL23" s="224">
        <v>0</v>
      </c>
      <c r="BM23" s="225"/>
      <c r="BS23" s="129">
        <v>0</v>
      </c>
      <c r="BU23" s="12">
        <v>0</v>
      </c>
      <c r="BV23" s="2"/>
      <c r="BW23" s="12">
        <v>0</v>
      </c>
      <c r="BX23" s="2"/>
      <c r="BY23" s="12">
        <v>0</v>
      </c>
      <c r="BZ23" s="2"/>
      <c r="CA23" s="12">
        <v>0</v>
      </c>
    </row>
    <row r="24" spans="2:79" ht="15" customHeight="1">
      <c r="B24" s="17" t="s">
        <v>15</v>
      </c>
      <c r="C24" s="11">
        <v>3</v>
      </c>
      <c r="D24" s="16"/>
      <c r="E24" s="224">
        <f>136*C24*4.345</f>
        <v>1772.76</v>
      </c>
      <c r="F24" s="225"/>
      <c r="G24" s="16"/>
      <c r="H24" s="224">
        <f>136*C24*4.345</f>
        <v>1772.76</v>
      </c>
      <c r="I24" s="225"/>
      <c r="M24" s="224">
        <f>136*C24*4.345</f>
        <v>1772.76</v>
      </c>
      <c r="N24" s="225"/>
      <c r="O24" s="6"/>
      <c r="P24" s="6"/>
      <c r="R24" s="214"/>
      <c r="S24" s="215"/>
      <c r="T24" s="6"/>
      <c r="U24" s="6"/>
      <c r="V24" s="6"/>
      <c r="W24" s="214"/>
      <c r="X24" s="215"/>
      <c r="AD24" s="129">
        <f>E24*12</f>
        <v>21273.12</v>
      </c>
      <c r="AF24" s="12">
        <f>H24*12</f>
        <v>21273.12</v>
      </c>
      <c r="AG24" s="2"/>
      <c r="AH24" s="12">
        <f>M24*12</f>
        <v>21273.12</v>
      </c>
      <c r="AI24" s="2"/>
      <c r="AJ24" s="31"/>
      <c r="AK24" s="2"/>
      <c r="AL24" s="31"/>
      <c r="AN24" s="2"/>
      <c r="AO24" s="2"/>
      <c r="AQ24" s="17" t="s">
        <v>60</v>
      </c>
      <c r="AR24" s="11">
        <v>3</v>
      </c>
      <c r="AS24" s="16"/>
      <c r="AT24" s="224">
        <f>136*AR24*4.345</f>
        <v>1772.76</v>
      </c>
      <c r="AU24" s="225"/>
      <c r="AV24" s="16"/>
      <c r="AW24" s="224">
        <f>136*AR24*4.345</f>
        <v>1772.76</v>
      </c>
      <c r="AX24" s="225"/>
      <c r="BB24" s="224">
        <f>136*AR24*4.345</f>
        <v>1772.76</v>
      </c>
      <c r="BC24" s="225"/>
      <c r="BD24" s="6"/>
      <c r="BE24" s="6"/>
      <c r="BG24" s="214"/>
      <c r="BH24" s="215"/>
      <c r="BI24" s="6"/>
      <c r="BJ24" s="6"/>
      <c r="BK24" s="6"/>
      <c r="BL24" s="214"/>
      <c r="BM24" s="215"/>
      <c r="BS24" s="129">
        <f>AT24*12</f>
        <v>21273.12</v>
      </c>
      <c r="BU24" s="12">
        <f>AW24*12</f>
        <v>21273.12</v>
      </c>
      <c r="BV24" s="2"/>
      <c r="BW24" s="12">
        <f>BB24*12</f>
        <v>21273.12</v>
      </c>
      <c r="BX24" s="2"/>
      <c r="BY24" s="31"/>
      <c r="BZ24" s="2"/>
      <c r="CA24" s="31"/>
    </row>
    <row r="25" spans="2:79" ht="15" customHeight="1">
      <c r="B25" s="17" t="s">
        <v>99</v>
      </c>
      <c r="C25" s="7"/>
      <c r="D25" s="16"/>
      <c r="E25" s="214"/>
      <c r="F25" s="215"/>
      <c r="G25" s="16"/>
      <c r="H25" s="214"/>
      <c r="I25" s="215"/>
      <c r="M25" s="214"/>
      <c r="N25" s="215"/>
      <c r="O25" s="6"/>
      <c r="P25" s="6"/>
      <c r="R25" s="214"/>
      <c r="S25" s="215"/>
      <c r="T25" s="6"/>
      <c r="U25" s="6"/>
      <c r="V25" s="6"/>
      <c r="W25" s="214"/>
      <c r="X25" s="215"/>
      <c r="Y25" s="44"/>
      <c r="Z25" s="23"/>
      <c r="AA25" s="23"/>
      <c r="AB25" s="23"/>
      <c r="AC25" s="23"/>
      <c r="AD25" s="183"/>
      <c r="AE25" s="24"/>
      <c r="AF25" s="31"/>
      <c r="AG25" s="2"/>
      <c r="AH25" s="31"/>
      <c r="AI25" s="2"/>
      <c r="AJ25" s="31"/>
      <c r="AK25" s="2"/>
      <c r="AL25" s="31"/>
      <c r="AN25" s="23"/>
      <c r="AO25" s="23"/>
      <c r="AQ25" s="17" t="s">
        <v>34</v>
      </c>
      <c r="AR25" s="7"/>
      <c r="AS25" s="16"/>
      <c r="AT25" s="214"/>
      <c r="AU25" s="215"/>
      <c r="AV25" s="16"/>
      <c r="AW25" s="214"/>
      <c r="AX25" s="215"/>
      <c r="BB25" s="214"/>
      <c r="BC25" s="215"/>
      <c r="BD25" s="6"/>
      <c r="BE25" s="6"/>
      <c r="BG25" s="214"/>
      <c r="BH25" s="215"/>
      <c r="BI25" s="6"/>
      <c r="BJ25" s="6"/>
      <c r="BK25" s="6"/>
      <c r="BL25" s="214"/>
      <c r="BM25" s="215"/>
      <c r="BN25" s="44"/>
      <c r="BO25" s="23"/>
      <c r="BP25" s="23"/>
      <c r="BQ25" s="23"/>
      <c r="BR25" s="23"/>
      <c r="BS25" s="183"/>
      <c r="BT25" s="24"/>
      <c r="BU25" s="31"/>
      <c r="BV25" s="2"/>
      <c r="BW25" s="31"/>
      <c r="BX25" s="2"/>
      <c r="BY25" s="31"/>
      <c r="BZ25" s="2"/>
      <c r="CA25" s="31"/>
    </row>
    <row r="26" spans="2:80" ht="28.5" customHeight="1">
      <c r="B26" s="209" t="s">
        <v>16</v>
      </c>
      <c r="C26" s="210"/>
      <c r="D26" s="16"/>
      <c r="E26" s="205">
        <f>E28+E30</f>
        <v>590.92</v>
      </c>
      <c r="F26" s="206"/>
      <c r="G26" s="16"/>
      <c r="H26" s="205">
        <f>H28+H30</f>
        <v>590.92</v>
      </c>
      <c r="I26" s="206"/>
      <c r="M26" s="205">
        <f>M28+M30</f>
        <v>0</v>
      </c>
      <c r="N26" s="206"/>
      <c r="O26" s="58"/>
      <c r="P26" s="58"/>
      <c r="R26" s="205"/>
      <c r="S26" s="206"/>
      <c r="T26" s="58"/>
      <c r="U26" s="58"/>
      <c r="V26" s="58"/>
      <c r="W26" s="205"/>
      <c r="X26" s="206"/>
      <c r="AC26" s="185">
        <v>12</v>
      </c>
      <c r="AD26" s="182">
        <f>E26*12</f>
        <v>7091.039999999999</v>
      </c>
      <c r="AE26" s="21"/>
      <c r="AF26" s="26">
        <f>AF28</f>
        <v>7091.039999999999</v>
      </c>
      <c r="AG26" s="15"/>
      <c r="AH26" s="26">
        <v>0</v>
      </c>
      <c r="AI26" s="15"/>
      <c r="AJ26" s="26"/>
      <c r="AK26" s="15"/>
      <c r="AL26" s="26"/>
      <c r="AM26" s="15"/>
      <c r="AN26" s="2"/>
      <c r="AO26" s="2"/>
      <c r="AQ26" s="209" t="s">
        <v>35</v>
      </c>
      <c r="AR26" s="210"/>
      <c r="AS26" s="16"/>
      <c r="AT26" s="205">
        <f>AT28+AT30</f>
        <v>590.92</v>
      </c>
      <c r="AU26" s="206"/>
      <c r="AV26" s="16"/>
      <c r="AW26" s="205">
        <f>AW28+AW30</f>
        <v>590.92</v>
      </c>
      <c r="AX26" s="206"/>
      <c r="BB26" s="205">
        <f>BB28+BB30</f>
        <v>0</v>
      </c>
      <c r="BC26" s="206"/>
      <c r="BD26" s="58"/>
      <c r="BE26" s="58"/>
      <c r="BG26" s="205"/>
      <c r="BH26" s="206"/>
      <c r="BI26" s="58"/>
      <c r="BJ26" s="58"/>
      <c r="BK26" s="58"/>
      <c r="BL26" s="205"/>
      <c r="BM26" s="206"/>
      <c r="BR26" s="185">
        <v>12</v>
      </c>
      <c r="BS26" s="182">
        <f>AT26*12</f>
        <v>7091.039999999999</v>
      </c>
      <c r="BT26" s="21"/>
      <c r="BU26" s="26">
        <f>BU28</f>
        <v>7091.039999999999</v>
      </c>
      <c r="BV26" s="15"/>
      <c r="BW26" s="26">
        <v>0</v>
      </c>
      <c r="BX26" s="15"/>
      <c r="BY26" s="26"/>
      <c r="BZ26" s="15"/>
      <c r="CA26" s="26"/>
      <c r="CB26" s="15"/>
    </row>
    <row r="27" spans="2:79" ht="15" customHeight="1">
      <c r="B27" s="222" t="s">
        <v>189</v>
      </c>
      <c r="C27" s="223"/>
      <c r="D27" s="18"/>
      <c r="E27" s="214"/>
      <c r="F27" s="215"/>
      <c r="G27" s="18"/>
      <c r="H27" s="214"/>
      <c r="I27" s="215"/>
      <c r="M27" s="214"/>
      <c r="N27" s="215"/>
      <c r="O27" s="6"/>
      <c r="P27" s="6"/>
      <c r="R27" s="214"/>
      <c r="S27" s="215"/>
      <c r="T27" s="6"/>
      <c r="U27" s="6"/>
      <c r="V27" s="6"/>
      <c r="W27" s="214"/>
      <c r="X27" s="215"/>
      <c r="AC27" s="185"/>
      <c r="AD27" s="183"/>
      <c r="AE27" s="21"/>
      <c r="AF27" s="31"/>
      <c r="AG27" s="2"/>
      <c r="AH27" s="31"/>
      <c r="AI27" s="2"/>
      <c r="AJ27" s="31"/>
      <c r="AK27" s="2"/>
      <c r="AL27" s="31"/>
      <c r="AN27" s="2"/>
      <c r="AO27" s="2"/>
      <c r="AQ27" s="222" t="s">
        <v>40</v>
      </c>
      <c r="AR27" s="223"/>
      <c r="AS27" s="18"/>
      <c r="AT27" s="214"/>
      <c r="AU27" s="215"/>
      <c r="AV27" s="18"/>
      <c r="AW27" s="214"/>
      <c r="AX27" s="215"/>
      <c r="BB27" s="214"/>
      <c r="BC27" s="215"/>
      <c r="BD27" s="6"/>
      <c r="BE27" s="6"/>
      <c r="BG27" s="214"/>
      <c r="BH27" s="215"/>
      <c r="BI27" s="6"/>
      <c r="BJ27" s="6"/>
      <c r="BK27" s="6"/>
      <c r="BL27" s="214"/>
      <c r="BM27" s="215"/>
      <c r="BR27" s="185"/>
      <c r="BS27" s="183"/>
      <c r="BT27" s="21"/>
      <c r="BU27" s="31"/>
      <c r="BV27" s="2"/>
      <c r="BW27" s="31"/>
      <c r="BX27" s="2"/>
      <c r="BY27" s="31"/>
      <c r="BZ27" s="2"/>
      <c r="CA27" s="31"/>
    </row>
    <row r="28" spans="2:79" ht="15" customHeight="1">
      <c r="B28" s="222" t="s">
        <v>11</v>
      </c>
      <c r="C28" s="223"/>
      <c r="D28" s="18"/>
      <c r="E28" s="204">
        <f>E24/3</f>
        <v>590.92</v>
      </c>
      <c r="F28" s="204"/>
      <c r="G28" s="18"/>
      <c r="H28" s="204">
        <f>E28</f>
        <v>590.92</v>
      </c>
      <c r="I28" s="204"/>
      <c r="M28" s="204">
        <f>J28</f>
        <v>0</v>
      </c>
      <c r="N28" s="204"/>
      <c r="O28" s="6"/>
      <c r="P28" s="6"/>
      <c r="R28" s="214"/>
      <c r="S28" s="215"/>
      <c r="T28" s="6"/>
      <c r="U28" s="6"/>
      <c r="V28" s="6"/>
      <c r="W28" s="214"/>
      <c r="X28" s="215"/>
      <c r="AD28" s="129">
        <f>E28*12</f>
        <v>7091.039999999999</v>
      </c>
      <c r="AF28" s="12">
        <f>H28*12</f>
        <v>7091.039999999999</v>
      </c>
      <c r="AG28" s="2"/>
      <c r="AH28" s="12">
        <f>M28*12</f>
        <v>0</v>
      </c>
      <c r="AI28" s="2"/>
      <c r="AJ28" s="31"/>
      <c r="AK28" s="2"/>
      <c r="AL28" s="31"/>
      <c r="AN28" s="2"/>
      <c r="AO28" s="2"/>
      <c r="AQ28" s="222" t="s">
        <v>36</v>
      </c>
      <c r="AR28" s="223"/>
      <c r="AS28" s="18"/>
      <c r="AT28" s="204">
        <f>AT24/3</f>
        <v>590.92</v>
      </c>
      <c r="AU28" s="204"/>
      <c r="AV28" s="18"/>
      <c r="AW28" s="204">
        <f>AT28</f>
        <v>590.92</v>
      </c>
      <c r="AX28" s="204"/>
      <c r="BB28" s="204">
        <f>AY28</f>
        <v>0</v>
      </c>
      <c r="BC28" s="204"/>
      <c r="BD28" s="6"/>
      <c r="BE28" s="6"/>
      <c r="BG28" s="214"/>
      <c r="BH28" s="215"/>
      <c r="BI28" s="6"/>
      <c r="BJ28" s="6"/>
      <c r="BK28" s="6"/>
      <c r="BL28" s="214"/>
      <c r="BM28" s="215"/>
      <c r="BS28" s="129">
        <f>AT28*12</f>
        <v>7091.039999999999</v>
      </c>
      <c r="BU28" s="12">
        <f>AW28*12</f>
        <v>7091.039999999999</v>
      </c>
      <c r="BV28" s="2"/>
      <c r="BW28" s="12">
        <f>BB28*12</f>
        <v>0</v>
      </c>
      <c r="BX28" s="2"/>
      <c r="BY28" s="31"/>
      <c r="BZ28" s="2"/>
      <c r="CA28" s="31"/>
    </row>
    <row r="29" spans="2:79" ht="15" customHeight="1">
      <c r="B29" s="222" t="s">
        <v>12</v>
      </c>
      <c r="C29" s="223"/>
      <c r="D29" s="18"/>
      <c r="E29" s="214"/>
      <c r="F29" s="215"/>
      <c r="G29" s="18"/>
      <c r="H29" s="214"/>
      <c r="I29" s="215"/>
      <c r="M29" s="214"/>
      <c r="N29" s="215"/>
      <c r="O29" s="6"/>
      <c r="P29" s="6"/>
      <c r="R29" s="214"/>
      <c r="S29" s="215"/>
      <c r="T29" s="6"/>
      <c r="U29" s="6"/>
      <c r="V29" s="6"/>
      <c r="W29" s="214"/>
      <c r="X29" s="215"/>
      <c r="AD29" s="183"/>
      <c r="AF29" s="31"/>
      <c r="AG29" s="2"/>
      <c r="AH29" s="31"/>
      <c r="AI29" s="2"/>
      <c r="AJ29" s="31"/>
      <c r="AK29" s="2"/>
      <c r="AL29" s="31"/>
      <c r="AN29" s="2"/>
      <c r="AO29" s="2"/>
      <c r="AQ29" s="222" t="s">
        <v>37</v>
      </c>
      <c r="AR29" s="223"/>
      <c r="AS29" s="18"/>
      <c r="AT29" s="214"/>
      <c r="AU29" s="215"/>
      <c r="AV29" s="18"/>
      <c r="AW29" s="214"/>
      <c r="AX29" s="215"/>
      <c r="BB29" s="214"/>
      <c r="BC29" s="215"/>
      <c r="BD29" s="6"/>
      <c r="BE29" s="6"/>
      <c r="BG29" s="214"/>
      <c r="BH29" s="215"/>
      <c r="BI29" s="6"/>
      <c r="BJ29" s="6"/>
      <c r="BK29" s="6"/>
      <c r="BL29" s="214"/>
      <c r="BM29" s="215"/>
      <c r="BS29" s="183"/>
      <c r="BU29" s="31"/>
      <c r="BV29" s="2"/>
      <c r="BW29" s="31"/>
      <c r="BX29" s="2"/>
      <c r="BY29" s="31"/>
      <c r="BZ29" s="2"/>
      <c r="CA29" s="31"/>
    </row>
    <row r="30" spans="2:79" ht="15" customHeight="1" thickBot="1">
      <c r="B30" s="222" t="s">
        <v>13</v>
      </c>
      <c r="C30" s="223"/>
      <c r="D30" s="18"/>
      <c r="E30" s="224"/>
      <c r="F30" s="225"/>
      <c r="G30" s="18"/>
      <c r="H30" s="224">
        <v>0</v>
      </c>
      <c r="I30" s="225"/>
      <c r="M30" s="224">
        <v>0</v>
      </c>
      <c r="N30" s="225"/>
      <c r="O30" s="6"/>
      <c r="P30" s="6"/>
      <c r="R30" s="214"/>
      <c r="S30" s="215"/>
      <c r="T30" s="6"/>
      <c r="U30" s="6"/>
      <c r="V30" s="6"/>
      <c r="W30" s="214"/>
      <c r="X30" s="215"/>
      <c r="Z30" s="1"/>
      <c r="AA30" s="1"/>
      <c r="AD30" s="129">
        <f>E30*12</f>
        <v>0</v>
      </c>
      <c r="AF30" s="12">
        <f>H30*12</f>
        <v>0</v>
      </c>
      <c r="AG30" s="2"/>
      <c r="AH30" s="12">
        <f>M30*12</f>
        <v>0</v>
      </c>
      <c r="AI30" s="2"/>
      <c r="AJ30" s="31"/>
      <c r="AK30" s="2"/>
      <c r="AL30" s="31"/>
      <c r="AQ30" s="222" t="s">
        <v>38</v>
      </c>
      <c r="AR30" s="223"/>
      <c r="AS30" s="18"/>
      <c r="AT30" s="224"/>
      <c r="AU30" s="225"/>
      <c r="AV30" s="18"/>
      <c r="AW30" s="224">
        <v>0</v>
      </c>
      <c r="AX30" s="225"/>
      <c r="BB30" s="224">
        <v>0</v>
      </c>
      <c r="BC30" s="225"/>
      <c r="BD30" s="6"/>
      <c r="BE30" s="6"/>
      <c r="BG30" s="214"/>
      <c r="BH30" s="215"/>
      <c r="BI30" s="6"/>
      <c r="BJ30" s="6"/>
      <c r="BK30" s="6"/>
      <c r="BL30" s="214"/>
      <c r="BM30" s="215"/>
      <c r="BO30" s="1"/>
      <c r="BP30" s="1"/>
      <c r="BS30" s="129">
        <f>AT30*12</f>
        <v>0</v>
      </c>
      <c r="BU30" s="12">
        <f>AW30*12</f>
        <v>0</v>
      </c>
      <c r="BV30" s="2"/>
      <c r="BW30" s="12">
        <f>BB30*12</f>
        <v>0</v>
      </c>
      <c r="BX30" s="2"/>
      <c r="BY30" s="31"/>
      <c r="BZ30" s="2"/>
      <c r="CA30" s="31"/>
    </row>
    <row r="31" spans="2:80" ht="28.5" customHeight="1" thickBot="1">
      <c r="B31" s="207" t="s">
        <v>42</v>
      </c>
      <c r="C31" s="208"/>
      <c r="D31" s="18"/>
      <c r="E31" s="217">
        <f>E8+E17+E22+E26</f>
        <v>8067.026283968801</v>
      </c>
      <c r="F31" s="218"/>
      <c r="G31" s="18"/>
      <c r="H31" s="217">
        <f>H8+H17+H22+H26</f>
        <v>8723.514179896976</v>
      </c>
      <c r="I31" s="218"/>
      <c r="M31" s="217">
        <f>M8+M17+M22+M26</f>
        <v>11038.625179896977</v>
      </c>
      <c r="N31" s="218"/>
      <c r="O31" s="3"/>
      <c r="P31" s="3"/>
      <c r="R31" s="217">
        <f>R8+R17+R22+R26</f>
        <v>11644.486273014385</v>
      </c>
      <c r="S31" s="218"/>
      <c r="T31" s="3"/>
      <c r="U31" s="3"/>
      <c r="V31" s="3"/>
      <c r="W31" s="217">
        <f>W8+W17+W22+W26</f>
        <v>9045.413196091307</v>
      </c>
      <c r="X31" s="218"/>
      <c r="Y31" s="45"/>
      <c r="Z31" s="28">
        <f>R31-H31</f>
        <v>2920.972093117409</v>
      </c>
      <c r="AA31" s="28">
        <f>R31-E31</f>
        <v>3577.459989045584</v>
      </c>
      <c r="AB31" s="181"/>
      <c r="AC31" s="13"/>
      <c r="AD31" s="184">
        <f>AD8+AD17+AD22+AD26</f>
        <v>102507.66169159439</v>
      </c>
      <c r="AE31" s="13"/>
      <c r="AF31" s="37">
        <f>AF8+AF17+AF22+AF26</f>
        <v>111042.00433866068</v>
      </c>
      <c r="AG31" s="15"/>
      <c r="AH31" s="37">
        <f>AH8+AH17+AH22+AH26</f>
        <v>141729.3673386607</v>
      </c>
      <c r="AI31" s="15"/>
      <c r="AJ31" s="37">
        <f>AJ8+AJ17+AJ22+AJ26</f>
        <v>151378.321549187</v>
      </c>
      <c r="AK31" s="163"/>
      <c r="AL31" s="164">
        <f>AL8+AL17+AL22+AL26</f>
        <v>117590.371549187</v>
      </c>
      <c r="AM31" s="166"/>
      <c r="AN31" s="176">
        <f>AJ31-AF31</f>
        <v>40336.31721052632</v>
      </c>
      <c r="AO31" s="28">
        <f>AJ31-AD31</f>
        <v>48870.65985759262</v>
      </c>
      <c r="AQ31" s="207" t="s">
        <v>43</v>
      </c>
      <c r="AR31" s="208"/>
      <c r="AS31" s="18"/>
      <c r="AT31" s="217">
        <f>AT8+AT17+AT22+AT26</f>
        <v>8067.026283968801</v>
      </c>
      <c r="AU31" s="218"/>
      <c r="AV31" s="18"/>
      <c r="AW31" s="217">
        <f>AW8+AW17+AW22+AW26</f>
        <v>8723.514179896976</v>
      </c>
      <c r="AX31" s="218"/>
      <c r="BB31" s="217">
        <f>BB8+BB17+BB22+BB26</f>
        <v>11038.625179896977</v>
      </c>
      <c r="BC31" s="218"/>
      <c r="BD31" s="3"/>
      <c r="BE31" s="3"/>
      <c r="BG31" s="217">
        <f>BG8+BG17+BG22+BG26</f>
        <v>11644.486273014385</v>
      </c>
      <c r="BH31" s="218"/>
      <c r="BI31" s="3"/>
      <c r="BJ31" s="3"/>
      <c r="BK31" s="3"/>
      <c r="BL31" s="217">
        <f>BL8+BL17+BL22+BL26</f>
        <v>9045.413196091307</v>
      </c>
      <c r="BM31" s="218"/>
      <c r="BN31" s="45"/>
      <c r="BO31" s="28">
        <f>BG31-AW31</f>
        <v>2920.972093117409</v>
      </c>
      <c r="BP31" s="28">
        <f>BG31-AT31</f>
        <v>3577.459989045584</v>
      </c>
      <c r="BQ31" s="181"/>
      <c r="BR31" s="13"/>
      <c r="BS31" s="184">
        <f>BS8+BS17+BS22+BS26</f>
        <v>102507.66169159439</v>
      </c>
      <c r="BT31" s="13"/>
      <c r="BU31" s="37">
        <f>BU8+BU17+BU22+BU26</f>
        <v>111042.00433866068</v>
      </c>
      <c r="BV31" s="15"/>
      <c r="BW31" s="37">
        <f>BW8+BW17+BW22+BW26</f>
        <v>141729.3673386607</v>
      </c>
      <c r="BX31" s="15"/>
      <c r="BY31" s="37">
        <f>BY8+BY17+BY22+BY26</f>
        <v>151378.321549187</v>
      </c>
      <c r="BZ31" s="163"/>
      <c r="CA31" s="164">
        <f>CA8+CA17+CA22+CA26</f>
        <v>117590.371549187</v>
      </c>
      <c r="CB31" s="166"/>
    </row>
    <row r="32" spans="1:71" ht="9.75" customHeight="1">
      <c r="A32" s="168"/>
      <c r="B32" s="168"/>
      <c r="R32" s="1"/>
      <c r="S32" s="1"/>
      <c r="T32" s="1"/>
      <c r="U32" s="1"/>
      <c r="V32" s="1"/>
      <c r="W32" s="1"/>
      <c r="X32" s="1"/>
      <c r="AD32" s="3"/>
      <c r="AP32" s="168"/>
      <c r="AQ32" s="168"/>
      <c r="BG32" s="1"/>
      <c r="BH32" s="1"/>
      <c r="BI32" s="1"/>
      <c r="BJ32" s="1"/>
      <c r="BK32" s="1"/>
      <c r="BL32" s="1"/>
      <c r="BM32" s="1"/>
      <c r="BS32" s="3"/>
    </row>
    <row r="33" spans="1:69" ht="15" customHeight="1">
      <c r="A33" s="167" t="s">
        <v>62</v>
      </c>
      <c r="B33" s="168" t="s">
        <v>65</v>
      </c>
      <c r="R33" s="1"/>
      <c r="S33" s="1"/>
      <c r="T33" s="1"/>
      <c r="U33" s="1"/>
      <c r="V33" s="1"/>
      <c r="W33" s="1"/>
      <c r="X33" s="1"/>
      <c r="AB33" s="63"/>
      <c r="AP33" s="167" t="s">
        <v>62</v>
      </c>
      <c r="AQ33" s="168" t="s">
        <v>225</v>
      </c>
      <c r="BG33" s="1"/>
      <c r="BH33" s="1"/>
      <c r="BI33" s="1"/>
      <c r="BJ33" s="1"/>
      <c r="BK33" s="1"/>
      <c r="BL33" s="1"/>
      <c r="BM33" s="1"/>
      <c r="BQ33" s="63"/>
    </row>
    <row r="34" spans="1:65" ht="15" customHeight="1">
      <c r="A34" s="167"/>
      <c r="B34" s="168"/>
      <c r="R34" s="1"/>
      <c r="S34" s="1"/>
      <c r="T34" s="1"/>
      <c r="U34" s="1"/>
      <c r="V34" s="1"/>
      <c r="W34" s="1"/>
      <c r="X34" s="1"/>
      <c r="AP34" s="167"/>
      <c r="AQ34" s="168"/>
      <c r="BG34" s="1"/>
      <c r="BH34" s="1"/>
      <c r="BI34" s="1"/>
      <c r="BJ34" s="1"/>
      <c r="BK34" s="1"/>
      <c r="BL34" s="1"/>
      <c r="BM34" s="1"/>
    </row>
    <row r="35" spans="1:43" ht="15" customHeight="1">
      <c r="A35" s="167" t="s">
        <v>63</v>
      </c>
      <c r="B35" s="168" t="s">
        <v>111</v>
      </c>
      <c r="AP35" s="167" t="s">
        <v>63</v>
      </c>
      <c r="AQ35" s="168" t="s">
        <v>210</v>
      </c>
    </row>
    <row r="36" spans="1:43" ht="15" customHeight="1">
      <c r="A36" s="167"/>
      <c r="B36" s="168"/>
      <c r="AP36" s="167"/>
      <c r="AQ36" s="168"/>
    </row>
    <row r="37" spans="1:43" ht="15" customHeight="1">
      <c r="A37" s="167" t="s">
        <v>64</v>
      </c>
      <c r="B37" s="168" t="s">
        <v>190</v>
      </c>
      <c r="AP37" s="167" t="s">
        <v>64</v>
      </c>
      <c r="AQ37" s="168" t="s">
        <v>201</v>
      </c>
    </row>
    <row r="38" spans="1:43" ht="15" customHeight="1">
      <c r="A38" s="168"/>
      <c r="B38" s="169" t="s">
        <v>69</v>
      </c>
      <c r="AP38" s="168"/>
      <c r="AQ38" s="169" t="s">
        <v>87</v>
      </c>
    </row>
    <row r="39" spans="1:43" ht="15" customHeight="1">
      <c r="A39" s="168"/>
      <c r="B39" s="169" t="s">
        <v>159</v>
      </c>
      <c r="AP39" s="168"/>
      <c r="AQ39" s="169" t="s">
        <v>86</v>
      </c>
    </row>
    <row r="40" spans="1:43" ht="15" customHeight="1">
      <c r="A40" s="168"/>
      <c r="B40" s="169" t="s">
        <v>157</v>
      </c>
      <c r="AP40" s="168"/>
      <c r="AQ40" s="169" t="s">
        <v>233</v>
      </c>
    </row>
    <row r="41" spans="1:43" ht="15" customHeight="1">
      <c r="A41" s="168"/>
      <c r="B41" s="168" t="s">
        <v>68</v>
      </c>
      <c r="AF41" s="194"/>
      <c r="AG41" s="2"/>
      <c r="AH41" s="2"/>
      <c r="AI41" s="2"/>
      <c r="AJ41" s="211"/>
      <c r="AK41" s="2"/>
      <c r="AL41" s="212"/>
      <c r="AP41" s="168"/>
      <c r="AQ41" s="168" t="s">
        <v>219</v>
      </c>
    </row>
    <row r="42" spans="1:43" ht="15" customHeight="1">
      <c r="A42" s="168"/>
      <c r="B42" s="169">
        <v>28364.16</v>
      </c>
      <c r="AF42" s="2"/>
      <c r="AG42" s="2"/>
      <c r="AH42" s="2"/>
      <c r="AI42" s="2"/>
      <c r="AJ42" s="2"/>
      <c r="AK42" s="2"/>
      <c r="AL42" s="2"/>
      <c r="AP42" s="168"/>
      <c r="AQ42" s="169">
        <f aca="true" t="shared" si="17" ref="AQ42:AQ47">B42</f>
        <v>28364.16</v>
      </c>
    </row>
    <row r="43" spans="1:43" ht="15" customHeight="1">
      <c r="A43" s="167" t="s">
        <v>70</v>
      </c>
      <c r="B43" s="168">
        <v>14182.08</v>
      </c>
      <c r="AF43" s="2"/>
      <c r="AG43" s="2"/>
      <c r="AH43" s="2"/>
      <c r="AI43" s="2"/>
      <c r="AJ43" s="2"/>
      <c r="AK43" s="2"/>
      <c r="AL43" s="2"/>
      <c r="AP43" s="167" t="s">
        <v>70</v>
      </c>
      <c r="AQ43" s="169">
        <f t="shared" si="17"/>
        <v>14182.08</v>
      </c>
    </row>
    <row r="44" spans="1:43" ht="15" customHeight="1">
      <c r="A44" s="167" t="s">
        <v>70</v>
      </c>
      <c r="B44" s="168">
        <v>6197.49</v>
      </c>
      <c r="AF44" s="2"/>
      <c r="AG44" s="2"/>
      <c r="AH44" s="2"/>
      <c r="AI44" s="2"/>
      <c r="AJ44" s="2"/>
      <c r="AK44" s="2"/>
      <c r="AL44" s="2"/>
      <c r="AP44" s="167" t="s">
        <v>70</v>
      </c>
      <c r="AQ44" s="169">
        <f t="shared" si="17"/>
        <v>6197.49</v>
      </c>
    </row>
    <row r="45" spans="1:43" ht="15" customHeight="1">
      <c r="A45" s="167" t="s">
        <v>70</v>
      </c>
      <c r="B45" s="168">
        <v>2005.8</v>
      </c>
      <c r="AF45" s="2"/>
      <c r="AG45" s="2"/>
      <c r="AH45" s="2"/>
      <c r="AI45" s="2"/>
      <c r="AJ45" s="2"/>
      <c r="AK45" s="2"/>
      <c r="AL45" s="2"/>
      <c r="AP45" s="167" t="s">
        <v>70</v>
      </c>
      <c r="AQ45" s="169">
        <f t="shared" si="17"/>
        <v>2005.8</v>
      </c>
    </row>
    <row r="46" spans="1:43" ht="15" customHeight="1">
      <c r="A46" s="168"/>
      <c r="B46" s="170">
        <f>B42-(B43+B44+B45)</f>
        <v>5978.790000000001</v>
      </c>
      <c r="AF46" s="2"/>
      <c r="AG46" s="2"/>
      <c r="AH46" s="2"/>
      <c r="AI46" s="2"/>
      <c r="AJ46" s="2"/>
      <c r="AK46" s="2"/>
      <c r="AL46" s="2"/>
      <c r="AP46" s="168"/>
      <c r="AQ46" s="188">
        <f t="shared" si="17"/>
        <v>5978.790000000001</v>
      </c>
    </row>
    <row r="47" spans="1:44" ht="15" customHeight="1">
      <c r="A47" s="167" t="s">
        <v>71</v>
      </c>
      <c r="B47" s="171">
        <f>B46/13</f>
        <v>459.90692307692314</v>
      </c>
      <c r="C47" s="168" t="s">
        <v>192</v>
      </c>
      <c r="AP47" s="167" t="s">
        <v>71</v>
      </c>
      <c r="AQ47" s="189">
        <f t="shared" si="17"/>
        <v>459.90692307692314</v>
      </c>
      <c r="AR47" s="168" t="s">
        <v>209</v>
      </c>
    </row>
    <row r="48" spans="1:43" ht="15" customHeight="1">
      <c r="A48" s="168"/>
      <c r="B48" s="168" t="s">
        <v>105</v>
      </c>
      <c r="AP48" s="168"/>
      <c r="AQ48" s="187" t="s">
        <v>203</v>
      </c>
    </row>
    <row r="49" spans="1:42" ht="17.25" customHeight="1">
      <c r="A49" s="88"/>
      <c r="AP49" s="88"/>
    </row>
    <row r="56" spans="9:57" ht="12.75">
      <c r="I56" s="41"/>
      <c r="N56" s="41"/>
      <c r="O56" s="41"/>
      <c r="P56" s="41"/>
      <c r="AX56" s="41"/>
      <c r="BC56" s="41"/>
      <c r="BD56" s="41"/>
      <c r="BE56" s="41"/>
    </row>
    <row r="58" spans="8:57" ht="12.75">
      <c r="H58" s="2"/>
      <c r="I58" s="2"/>
      <c r="M58" s="2"/>
      <c r="N58" s="2"/>
      <c r="O58" s="2"/>
      <c r="P58" s="2"/>
      <c r="AW58" s="2"/>
      <c r="AX58" s="2"/>
      <c r="BB58" s="2"/>
      <c r="BC58" s="2"/>
      <c r="BD58" s="2"/>
      <c r="BE58" s="2"/>
    </row>
    <row r="60" spans="9:57" ht="12.75">
      <c r="I60" s="2"/>
      <c r="N60" s="2"/>
      <c r="O60" s="2"/>
      <c r="P60" s="2"/>
      <c r="AX60" s="2"/>
      <c r="BC60" s="2"/>
      <c r="BD60" s="2"/>
      <c r="BE60" s="2"/>
    </row>
    <row r="61" spans="9:57" ht="12.75">
      <c r="I61" s="2"/>
      <c r="N61" s="2"/>
      <c r="O61" s="2"/>
      <c r="P61" s="2"/>
      <c r="AX61" s="2"/>
      <c r="BC61" s="2"/>
      <c r="BD61" s="2"/>
      <c r="BE61" s="2"/>
    </row>
    <row r="62" spans="9:57" ht="12.75">
      <c r="I62" s="2"/>
      <c r="N62" s="2"/>
      <c r="O62" s="2"/>
      <c r="P62" s="2"/>
      <c r="AX62" s="2"/>
      <c r="BC62" s="2"/>
      <c r="BD62" s="2"/>
      <c r="BE62" s="2"/>
    </row>
    <row r="63" spans="9:57" ht="12.75">
      <c r="I63" s="2"/>
      <c r="N63" s="2"/>
      <c r="O63" s="2"/>
      <c r="P63" s="2"/>
      <c r="AX63" s="2"/>
      <c r="BC63" s="2"/>
      <c r="BD63" s="2"/>
      <c r="BE63" s="2"/>
    </row>
    <row r="64" spans="9:57" ht="12.75">
      <c r="I64" s="2"/>
      <c r="N64" s="2"/>
      <c r="O64" s="2"/>
      <c r="P64" s="2"/>
      <c r="AX64" s="2"/>
      <c r="BC64" s="2"/>
      <c r="BD64" s="2"/>
      <c r="BE64" s="2"/>
    </row>
    <row r="65" spans="9:57" ht="12.75">
      <c r="I65" s="15"/>
      <c r="N65" s="15"/>
      <c r="O65" s="15"/>
      <c r="P65" s="15"/>
      <c r="AX65" s="15"/>
      <c r="BC65" s="15"/>
      <c r="BD65" s="15"/>
      <c r="BE65" s="15"/>
    </row>
  </sheetData>
  <mergeCells count="258">
    <mergeCell ref="A3:AM3"/>
    <mergeCell ref="R13:S13"/>
    <mergeCell ref="H11:I11"/>
    <mergeCell ref="R11:S11"/>
    <mergeCell ref="M11:N11"/>
    <mergeCell ref="E9:F9"/>
    <mergeCell ref="H9:I9"/>
    <mergeCell ref="W11:X11"/>
    <mergeCell ref="H13:I13"/>
    <mergeCell ref="R12:S12"/>
    <mergeCell ref="W17:X17"/>
    <mergeCell ref="R16:S16"/>
    <mergeCell ref="M12:N12"/>
    <mergeCell ref="M13:N13"/>
    <mergeCell ref="M14:N14"/>
    <mergeCell ref="W12:X12"/>
    <mergeCell ref="W13:X13"/>
    <mergeCell ref="W14:X14"/>
    <mergeCell ref="M16:N16"/>
    <mergeCell ref="M22:N22"/>
    <mergeCell ref="M23:N23"/>
    <mergeCell ref="AQ31:AR31"/>
    <mergeCell ref="R22:S22"/>
    <mergeCell ref="W25:X25"/>
    <mergeCell ref="W29:X29"/>
    <mergeCell ref="AQ29:AR29"/>
    <mergeCell ref="R26:S26"/>
    <mergeCell ref="W24:X24"/>
    <mergeCell ref="M25:N25"/>
    <mergeCell ref="AT31:AU31"/>
    <mergeCell ref="M26:N26"/>
    <mergeCell ref="M27:N27"/>
    <mergeCell ref="W26:X26"/>
    <mergeCell ref="M31:N31"/>
    <mergeCell ref="W31:X31"/>
    <mergeCell ref="AQ30:AR30"/>
    <mergeCell ref="AT30:AU30"/>
    <mergeCell ref="AQ28:AR28"/>
    <mergeCell ref="AT28:AU28"/>
    <mergeCell ref="B31:C31"/>
    <mergeCell ref="E31:F31"/>
    <mergeCell ref="H31:I31"/>
    <mergeCell ref="R31:S31"/>
    <mergeCell ref="B22:C22"/>
    <mergeCell ref="E22:F22"/>
    <mergeCell ref="H22:I22"/>
    <mergeCell ref="W30:X30"/>
    <mergeCell ref="H25:I25"/>
    <mergeCell ref="R25:S25"/>
    <mergeCell ref="R30:S30"/>
    <mergeCell ref="R29:S29"/>
    <mergeCell ref="R28:S28"/>
    <mergeCell ref="R27:S27"/>
    <mergeCell ref="M29:N29"/>
    <mergeCell ref="B30:C30"/>
    <mergeCell ref="E30:F30"/>
    <mergeCell ref="H30:I30"/>
    <mergeCell ref="M30:N30"/>
    <mergeCell ref="AT29:AU29"/>
    <mergeCell ref="W27:X27"/>
    <mergeCell ref="B28:C28"/>
    <mergeCell ref="E28:F28"/>
    <mergeCell ref="H28:I28"/>
    <mergeCell ref="M28:N28"/>
    <mergeCell ref="W28:X28"/>
    <mergeCell ref="B29:C29"/>
    <mergeCell ref="E29:F29"/>
    <mergeCell ref="H29:I29"/>
    <mergeCell ref="E25:F25"/>
    <mergeCell ref="B27:C27"/>
    <mergeCell ref="E27:F27"/>
    <mergeCell ref="H27:I27"/>
    <mergeCell ref="B26:C26"/>
    <mergeCell ref="E26:F26"/>
    <mergeCell ref="H26:I26"/>
    <mergeCell ref="E24:F24"/>
    <mergeCell ref="H24:I24"/>
    <mergeCell ref="R24:S24"/>
    <mergeCell ref="M24:N24"/>
    <mergeCell ref="E23:F23"/>
    <mergeCell ref="H23:I23"/>
    <mergeCell ref="R23:S23"/>
    <mergeCell ref="W23:X23"/>
    <mergeCell ref="W22:X22"/>
    <mergeCell ref="AQ22:AR22"/>
    <mergeCell ref="AT22:AU22"/>
    <mergeCell ref="AW22:AX22"/>
    <mergeCell ref="B21:C21"/>
    <mergeCell ref="B18:C18"/>
    <mergeCell ref="B19:C19"/>
    <mergeCell ref="R17:S17"/>
    <mergeCell ref="M17:N17"/>
    <mergeCell ref="AT16:AU16"/>
    <mergeCell ref="AW16:AX16"/>
    <mergeCell ref="B20:C20"/>
    <mergeCell ref="W16:X16"/>
    <mergeCell ref="B16:C16"/>
    <mergeCell ref="E16:F16"/>
    <mergeCell ref="H16:I16"/>
    <mergeCell ref="B17:C17"/>
    <mergeCell ref="E17:F17"/>
    <mergeCell ref="H17:I17"/>
    <mergeCell ref="AT14:AU14"/>
    <mergeCell ref="AW14:AX14"/>
    <mergeCell ref="B15:C15"/>
    <mergeCell ref="E15:F15"/>
    <mergeCell ref="H15:I15"/>
    <mergeCell ref="R14:S14"/>
    <mergeCell ref="R15:S15"/>
    <mergeCell ref="M15:N15"/>
    <mergeCell ref="W15:X15"/>
    <mergeCell ref="B14:C14"/>
    <mergeCell ref="E14:F14"/>
    <mergeCell ref="H14:I14"/>
    <mergeCell ref="B11:C11"/>
    <mergeCell ref="E11:F11"/>
    <mergeCell ref="B13:C13"/>
    <mergeCell ref="E13:F13"/>
    <mergeCell ref="B12:C12"/>
    <mergeCell ref="E12:F12"/>
    <mergeCell ref="H12:I12"/>
    <mergeCell ref="M9:N9"/>
    <mergeCell ref="M10:N10"/>
    <mergeCell ref="B9:C9"/>
    <mergeCell ref="AQ10:AR10"/>
    <mergeCell ref="W9:X9"/>
    <mergeCell ref="W10:X10"/>
    <mergeCell ref="B10:C10"/>
    <mergeCell ref="E10:F10"/>
    <mergeCell ref="H10:I10"/>
    <mergeCell ref="R10:S10"/>
    <mergeCell ref="R8:S8"/>
    <mergeCell ref="R9:S9"/>
    <mergeCell ref="W8:X8"/>
    <mergeCell ref="AQ9:AR9"/>
    <mergeCell ref="H5:X5"/>
    <mergeCell ref="B8:C8"/>
    <mergeCell ref="E8:F8"/>
    <mergeCell ref="H8:I8"/>
    <mergeCell ref="M8:N8"/>
    <mergeCell ref="W7:X7"/>
    <mergeCell ref="E7:F7"/>
    <mergeCell ref="H7:I7"/>
    <mergeCell ref="R7:S7"/>
    <mergeCell ref="M7:N7"/>
    <mergeCell ref="AP3:CB3"/>
    <mergeCell ref="AW5:BM5"/>
    <mergeCell ref="BU5:CA5"/>
    <mergeCell ref="AT7:AU7"/>
    <mergeCell ref="AW7:AX7"/>
    <mergeCell ref="BB7:BC7"/>
    <mergeCell ref="BG7:BH7"/>
    <mergeCell ref="BL7:BM7"/>
    <mergeCell ref="AF5:AL5"/>
    <mergeCell ref="BB8:BC8"/>
    <mergeCell ref="BG8:BH8"/>
    <mergeCell ref="BL8:BM8"/>
    <mergeCell ref="AT8:AU8"/>
    <mergeCell ref="AW8:AX8"/>
    <mergeCell ref="BB9:BC9"/>
    <mergeCell ref="BG9:BH9"/>
    <mergeCell ref="BL9:BM9"/>
    <mergeCell ref="AQ8:AR8"/>
    <mergeCell ref="AT9:AU9"/>
    <mergeCell ref="AW9:AX9"/>
    <mergeCell ref="BL10:BM10"/>
    <mergeCell ref="AQ11:AR11"/>
    <mergeCell ref="AT11:AU11"/>
    <mergeCell ref="AW11:AX11"/>
    <mergeCell ref="BB11:BC11"/>
    <mergeCell ref="BG11:BH11"/>
    <mergeCell ref="BL11:BM11"/>
    <mergeCell ref="AT10:AU10"/>
    <mergeCell ref="AW10:AX10"/>
    <mergeCell ref="BB12:BC12"/>
    <mergeCell ref="BB10:BC10"/>
    <mergeCell ref="BG10:BH10"/>
    <mergeCell ref="BG12:BH12"/>
    <mergeCell ref="BL12:BM12"/>
    <mergeCell ref="AQ13:AR13"/>
    <mergeCell ref="AT13:AU13"/>
    <mergeCell ref="AW13:AX13"/>
    <mergeCell ref="BB13:BC13"/>
    <mergeCell ref="BG13:BH13"/>
    <mergeCell ref="BL13:BM13"/>
    <mergeCell ref="AQ12:AR12"/>
    <mergeCell ref="AT12:AU12"/>
    <mergeCell ref="AW12:AX12"/>
    <mergeCell ref="BB14:BC14"/>
    <mergeCell ref="BG14:BH14"/>
    <mergeCell ref="BL14:BM14"/>
    <mergeCell ref="AQ15:AR15"/>
    <mergeCell ref="AT15:AU15"/>
    <mergeCell ref="AW15:AX15"/>
    <mergeCell ref="BB15:BC15"/>
    <mergeCell ref="BG15:BH15"/>
    <mergeCell ref="BL15:BM15"/>
    <mergeCell ref="AQ14:AR14"/>
    <mergeCell ref="BB16:BC16"/>
    <mergeCell ref="BG16:BH16"/>
    <mergeCell ref="BL16:BM16"/>
    <mergeCell ref="AQ17:AR17"/>
    <mergeCell ref="AT17:AU17"/>
    <mergeCell ref="AW17:AX17"/>
    <mergeCell ref="BB17:BC17"/>
    <mergeCell ref="BG17:BH17"/>
    <mergeCell ref="BL17:BM17"/>
    <mergeCell ref="AQ16:AR16"/>
    <mergeCell ref="AQ18:AR18"/>
    <mergeCell ref="AQ19:AR19"/>
    <mergeCell ref="AQ20:AR20"/>
    <mergeCell ref="AQ21:AR21"/>
    <mergeCell ref="BL22:BM22"/>
    <mergeCell ref="AT23:AU23"/>
    <mergeCell ref="AW23:AX23"/>
    <mergeCell ref="BB23:BC23"/>
    <mergeCell ref="BG23:BH23"/>
    <mergeCell ref="BL23:BM23"/>
    <mergeCell ref="BB24:BC24"/>
    <mergeCell ref="BG24:BH24"/>
    <mergeCell ref="BB22:BC22"/>
    <mergeCell ref="BG22:BH22"/>
    <mergeCell ref="AW26:AX26"/>
    <mergeCell ref="BB26:BC26"/>
    <mergeCell ref="BL24:BM24"/>
    <mergeCell ref="AT25:AU25"/>
    <mergeCell ref="AW25:AX25"/>
    <mergeCell ref="BB25:BC25"/>
    <mergeCell ref="BG25:BH25"/>
    <mergeCell ref="BL25:BM25"/>
    <mergeCell ref="AT24:AU24"/>
    <mergeCell ref="AW24:AX24"/>
    <mergeCell ref="BG26:BH26"/>
    <mergeCell ref="BL26:BM26"/>
    <mergeCell ref="AQ27:AR27"/>
    <mergeCell ref="AT27:AU27"/>
    <mergeCell ref="AW27:AX27"/>
    <mergeCell ref="BB27:BC27"/>
    <mergeCell ref="BG27:BH27"/>
    <mergeCell ref="BL27:BM27"/>
    <mergeCell ref="AQ26:AR26"/>
    <mergeCell ref="AT26:AU26"/>
    <mergeCell ref="AW28:AX28"/>
    <mergeCell ref="BB28:BC28"/>
    <mergeCell ref="BG28:BH28"/>
    <mergeCell ref="BL28:BM28"/>
    <mergeCell ref="AW29:AX29"/>
    <mergeCell ref="BB29:BC29"/>
    <mergeCell ref="BG29:BH29"/>
    <mergeCell ref="BL29:BM29"/>
    <mergeCell ref="AW30:AX30"/>
    <mergeCell ref="BB30:BC30"/>
    <mergeCell ref="BG30:BH30"/>
    <mergeCell ref="BL30:BM30"/>
    <mergeCell ref="AW31:AX31"/>
    <mergeCell ref="BB31:BC31"/>
    <mergeCell ref="BG31:BH31"/>
    <mergeCell ref="BL31:BM31"/>
  </mergeCells>
  <printOptions/>
  <pageMargins left="0.31496062992125984" right="0" top="0.31496062992125984" bottom="0" header="0.5118110236220472" footer="0.5118110236220472"/>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Q65"/>
  <sheetViews>
    <sheetView view="pageBreakPreview" zoomScaleSheetLayoutView="100" workbookViewId="0" topLeftCell="M10">
      <selection activeCell="K44" sqref="K44"/>
    </sheetView>
  </sheetViews>
  <sheetFormatPr defaultColWidth="11.421875" defaultRowHeight="12.75" outlineLevelRow="1" outlineLevelCol="1"/>
  <cols>
    <col min="1" max="1" width="18.00390625" style="1" customWidth="1"/>
    <col min="2" max="2" width="40.8515625" style="1" customWidth="1"/>
    <col min="3" max="3" width="5.00390625" style="1" customWidth="1"/>
    <col min="4" max="4" width="4.140625" style="1" customWidth="1"/>
    <col min="5" max="5" width="4.140625" style="1" hidden="1" customWidth="1" outlineLevel="1"/>
    <col min="6" max="6" width="10.57421875" style="1" hidden="1" customWidth="1" outlineLevel="1"/>
    <col min="7" max="7" width="2.28125" style="1" hidden="1" customWidth="1" outlineLevel="1"/>
    <col min="8" max="8" width="5.140625" style="1" customWidth="1" collapsed="1"/>
    <col min="9" max="9" width="15.57421875" style="1" customWidth="1"/>
    <col min="10" max="10" width="3.140625" style="1" customWidth="1"/>
    <col min="11" max="11" width="4.57421875" style="1" hidden="1" customWidth="1" outlineLevel="1"/>
    <col min="12" max="12" width="11.421875" style="1" hidden="1" customWidth="1" outlineLevel="1"/>
    <col min="13" max="13" width="5.140625" style="2" customWidth="1" collapsed="1"/>
    <col min="14" max="14" width="15.00390625" style="2" customWidth="1"/>
    <col min="15" max="15" width="9.7109375" style="61" customWidth="1"/>
    <col min="16" max="16" width="15.28125" style="2" hidden="1" customWidth="1" outlineLevel="1"/>
    <col min="17" max="17" width="14.8515625" style="2" hidden="1" customWidth="1" outlineLevel="1"/>
    <col min="18" max="18" width="2.7109375" style="2" customWidth="1" collapsed="1"/>
    <col min="19" max="19" width="11.140625" style="2" customWidth="1"/>
    <col min="20" max="20" width="14.8515625" style="2" hidden="1" customWidth="1" outlineLevel="1"/>
    <col min="21" max="21" width="2.00390625" style="2" hidden="1" customWidth="1" outlineLevel="1"/>
    <col min="22" max="22" width="20.28125" style="1" customWidth="1" collapsed="1"/>
    <col min="23" max="23" width="3.140625" style="1" customWidth="1"/>
    <col min="24" max="24" width="19.8515625" style="1" customWidth="1"/>
    <col min="25" max="25" width="5.28125" style="1" customWidth="1"/>
    <col min="26" max="26" width="17.00390625" style="1" hidden="1" customWidth="1" outlineLevel="1"/>
    <col min="27" max="27" width="16.28125" style="1" hidden="1" customWidth="1" outlineLevel="1"/>
    <col min="28" max="28" width="14.7109375" style="1" customWidth="1" collapsed="1"/>
    <col min="29" max="29" width="19.421875" style="1" customWidth="1"/>
    <col min="30" max="30" width="40.421875" style="51" customWidth="1"/>
    <col min="31" max="31" width="8.140625" style="51" customWidth="1"/>
    <col min="32" max="32" width="3.28125" style="51" customWidth="1"/>
    <col min="33" max="33" width="4.7109375" style="1" customWidth="1"/>
    <col min="34" max="34" width="13.8515625" style="1" customWidth="1"/>
    <col min="35" max="35" width="2.421875" style="1" customWidth="1"/>
    <col min="36" max="36" width="5.00390625" style="1" customWidth="1"/>
    <col min="37" max="37" width="14.421875" style="1" customWidth="1"/>
    <col min="38" max="39" width="11.421875" style="1" customWidth="1"/>
    <col min="40" max="40" width="22.28125" style="1" customWidth="1"/>
    <col min="41" max="41" width="3.7109375" style="1" customWidth="1"/>
    <col min="42" max="42" width="20.7109375" style="1" customWidth="1"/>
    <col min="43" max="43" width="17.28125" style="1" customWidth="1"/>
    <col min="44" max="44" width="6.140625" style="1" customWidth="1"/>
    <col min="45" max="16384" width="11.421875" style="1" customWidth="1"/>
  </cols>
  <sheetData>
    <row r="1" spans="2:43" ht="26.25" customHeight="1">
      <c r="B1" s="2"/>
      <c r="AB1" s="196" t="s">
        <v>238</v>
      </c>
      <c r="AQ1" s="196" t="s">
        <v>237</v>
      </c>
    </row>
    <row r="2" spans="1:2" ht="6.75" customHeight="1">
      <c r="A2" s="93"/>
      <c r="B2" s="2"/>
    </row>
    <row r="3" spans="1:43" s="2" customFormat="1" ht="48" customHeight="1">
      <c r="A3" s="198" t="s">
        <v>95</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t="s">
        <v>94</v>
      </c>
      <c r="AD3" s="198"/>
      <c r="AE3" s="198"/>
      <c r="AF3" s="198"/>
      <c r="AG3" s="198"/>
      <c r="AH3" s="198"/>
      <c r="AI3" s="198"/>
      <c r="AJ3" s="198"/>
      <c r="AK3" s="198"/>
      <c r="AL3" s="198"/>
      <c r="AM3" s="198"/>
      <c r="AN3" s="198"/>
      <c r="AO3" s="198"/>
      <c r="AP3" s="198"/>
      <c r="AQ3" s="198"/>
    </row>
    <row r="4" spans="1:32" s="2" customFormat="1" ht="19.5" customHeight="1" thickBot="1">
      <c r="A4" s="93"/>
      <c r="B4" s="1"/>
      <c r="C4" s="1"/>
      <c r="D4" s="18"/>
      <c r="E4" s="18"/>
      <c r="F4" s="18"/>
      <c r="G4" s="18"/>
      <c r="H4" s="54"/>
      <c r="I4" s="54"/>
      <c r="J4" s="54"/>
      <c r="K4" s="54"/>
      <c r="L4" s="54"/>
      <c r="O4" s="61"/>
      <c r="AD4" s="86"/>
      <c r="AE4" s="86"/>
      <c r="AF4" s="18"/>
    </row>
    <row r="5" spans="2:42" s="2" customFormat="1" ht="17.25" customHeight="1" thickBot="1">
      <c r="B5" s="18"/>
      <c r="C5" s="18"/>
      <c r="D5" s="71"/>
      <c r="F5" s="75"/>
      <c r="G5" s="75"/>
      <c r="H5" s="219" t="s">
        <v>1</v>
      </c>
      <c r="I5" s="220"/>
      <c r="J5" s="220"/>
      <c r="K5" s="220"/>
      <c r="L5" s="220"/>
      <c r="M5" s="220"/>
      <c r="N5" s="221"/>
      <c r="O5" s="77"/>
      <c r="U5" s="75"/>
      <c r="V5" s="219" t="s">
        <v>2</v>
      </c>
      <c r="W5" s="220"/>
      <c r="X5" s="221"/>
      <c r="Y5" s="77"/>
      <c r="Z5" s="98"/>
      <c r="AD5" s="18"/>
      <c r="AE5" s="18"/>
      <c r="AF5" s="18"/>
      <c r="AG5" s="219" t="s">
        <v>82</v>
      </c>
      <c r="AH5" s="220"/>
      <c r="AI5" s="220"/>
      <c r="AJ5" s="220"/>
      <c r="AK5" s="221"/>
      <c r="AN5" s="219" t="s">
        <v>83</v>
      </c>
      <c r="AO5" s="220"/>
      <c r="AP5" s="221"/>
    </row>
    <row r="6" spans="16:37" ht="6.75" customHeight="1" thickBot="1">
      <c r="P6" s="27" t="s">
        <v>3</v>
      </c>
      <c r="Q6" s="27" t="s">
        <v>3</v>
      </c>
      <c r="R6" s="32"/>
      <c r="Z6" s="27" t="s">
        <v>3</v>
      </c>
      <c r="AA6" s="27" t="s">
        <v>3</v>
      </c>
      <c r="AE6" s="18"/>
      <c r="AF6" s="1"/>
      <c r="AK6" s="72"/>
    </row>
    <row r="7" spans="2:42" s="2" customFormat="1" ht="64.5" customHeight="1" thickBot="1">
      <c r="B7" s="67"/>
      <c r="E7" s="231" t="s">
        <v>17</v>
      </c>
      <c r="F7" s="231"/>
      <c r="G7" s="56"/>
      <c r="H7" s="230" t="s">
        <v>179</v>
      </c>
      <c r="I7" s="230"/>
      <c r="J7" s="56"/>
      <c r="K7" s="56"/>
      <c r="L7" s="56"/>
      <c r="M7" s="230" t="s">
        <v>106</v>
      </c>
      <c r="N7" s="230"/>
      <c r="O7" s="61"/>
      <c r="P7" s="42" t="s">
        <v>19</v>
      </c>
      <c r="Q7" s="42" t="s">
        <v>18</v>
      </c>
      <c r="R7" s="33"/>
      <c r="S7" s="159" t="s">
        <v>178</v>
      </c>
      <c r="T7" s="46" t="s">
        <v>17</v>
      </c>
      <c r="U7" s="57"/>
      <c r="V7" s="172" t="s">
        <v>179</v>
      </c>
      <c r="W7" s="58"/>
      <c r="X7" s="172" t="s">
        <v>106</v>
      </c>
      <c r="Y7" s="59"/>
      <c r="Z7" s="42" t="s">
        <v>19</v>
      </c>
      <c r="AA7" s="42" t="s">
        <v>18</v>
      </c>
      <c r="AD7" s="55"/>
      <c r="AE7" s="56"/>
      <c r="AF7" s="56"/>
      <c r="AG7" s="226" t="s">
        <v>197</v>
      </c>
      <c r="AH7" s="226"/>
      <c r="AI7" s="56"/>
      <c r="AJ7" s="226" t="s">
        <v>198</v>
      </c>
      <c r="AK7" s="226"/>
      <c r="AL7" s="33"/>
      <c r="AM7" s="159" t="s">
        <v>193</v>
      </c>
      <c r="AN7" s="190" t="s">
        <v>197</v>
      </c>
      <c r="AO7" s="86"/>
      <c r="AP7" s="190" t="s">
        <v>197</v>
      </c>
    </row>
    <row r="8" spans="2:42" ht="28.5" customHeight="1" thickBot="1">
      <c r="B8" s="229" t="s">
        <v>0</v>
      </c>
      <c r="C8" s="229"/>
      <c r="D8" s="14"/>
      <c r="E8" s="227">
        <f>E10+E11+E12+E13+E9</f>
        <v>4268.642930418</v>
      </c>
      <c r="F8" s="228"/>
      <c r="G8" s="14"/>
      <c r="H8" s="227">
        <f>H9+H11+H12+H13+H10</f>
        <v>4720.514131500753</v>
      </c>
      <c r="I8" s="228"/>
      <c r="M8" s="227">
        <f>M9+M11+M12+M13+M14+M15+M16</f>
        <v>6118.701054577677</v>
      </c>
      <c r="N8" s="228"/>
      <c r="O8" s="47"/>
      <c r="P8" s="38">
        <f aca="true" t="shared" si="0" ref="P8:P15">M8-H8</f>
        <v>1398.1869230769234</v>
      </c>
      <c r="Q8" s="38">
        <f aca="true" t="shared" si="1" ref="Q8:Q17">M8-E8</f>
        <v>1850.0581241596765</v>
      </c>
      <c r="R8" s="34"/>
      <c r="S8" s="21">
        <v>13</v>
      </c>
      <c r="T8" s="26">
        <f aca="true" t="shared" si="2" ref="T8:T13">E8*13</f>
        <v>55492.358095434</v>
      </c>
      <c r="U8" s="57"/>
      <c r="V8" s="26">
        <f aca="true" t="shared" si="3" ref="V8:V13">H8*13</f>
        <v>61366.68370950979</v>
      </c>
      <c r="W8" s="15"/>
      <c r="X8" s="25">
        <f>(M9+M11+M12+M13+M14+M15+M16+M10)*13</f>
        <v>79543.1137095098</v>
      </c>
      <c r="Y8" s="19"/>
      <c r="Z8" s="28">
        <f aca="true" t="shared" si="4" ref="Z8:Z17">X8-V8</f>
        <v>18176.430000000008</v>
      </c>
      <c r="AA8" s="28">
        <f aca="true" t="shared" si="5" ref="AA8:AA16">X8-T8</f>
        <v>24050.755614075795</v>
      </c>
      <c r="AD8" s="229" t="s">
        <v>23</v>
      </c>
      <c r="AE8" s="229"/>
      <c r="AF8" s="14"/>
      <c r="AG8" s="227">
        <f>AG9+AG11+AG12+AG13+AG10</f>
        <v>4720.514131500753</v>
      </c>
      <c r="AH8" s="228"/>
      <c r="AJ8" s="227">
        <f>AJ9+AJ11+AJ12+AJ13+AJ14+AJ15+AJ16</f>
        <v>6118.701054577677</v>
      </c>
      <c r="AK8" s="228"/>
      <c r="AL8" s="34"/>
      <c r="AM8" s="21">
        <v>13</v>
      </c>
      <c r="AN8" s="26">
        <f aca="true" t="shared" si="6" ref="AN8:AN13">AG8*13</f>
        <v>61366.68370950979</v>
      </c>
      <c r="AO8" s="15"/>
      <c r="AP8" s="25">
        <f>(AJ9+AJ11+AJ12+AJ13+AJ14+AJ15+AJ16+AJ10)*13</f>
        <v>79543.1137095098</v>
      </c>
    </row>
    <row r="9" spans="2:42" ht="15" customHeight="1">
      <c r="B9" s="222" t="s">
        <v>61</v>
      </c>
      <c r="C9" s="223"/>
      <c r="D9" s="16"/>
      <c r="E9" s="224">
        <f>2061.06</f>
        <v>2061.06</v>
      </c>
      <c r="F9" s="225"/>
      <c r="G9" s="16"/>
      <c r="H9" s="224">
        <v>2279.24</v>
      </c>
      <c r="I9" s="225"/>
      <c r="M9" s="224">
        <v>2399.2</v>
      </c>
      <c r="N9" s="225"/>
      <c r="O9" s="101" t="s">
        <v>14</v>
      </c>
      <c r="P9" s="39">
        <f t="shared" si="0"/>
        <v>119.96000000000004</v>
      </c>
      <c r="Q9" s="39">
        <f>M9-E10</f>
        <v>2399.2</v>
      </c>
      <c r="R9" s="35"/>
      <c r="S9" s="20"/>
      <c r="T9" s="12">
        <f t="shared" si="2"/>
        <v>26793.78</v>
      </c>
      <c r="U9" s="20"/>
      <c r="V9" s="12">
        <f t="shared" si="3"/>
        <v>29630.119999999995</v>
      </c>
      <c r="W9" s="2"/>
      <c r="X9" s="12">
        <f aca="true" t="shared" si="7" ref="X9:X17">M9*13</f>
        <v>31189.6</v>
      </c>
      <c r="Y9" s="60"/>
      <c r="Z9" s="40">
        <f t="shared" si="4"/>
        <v>1559.4800000000032</v>
      </c>
      <c r="AA9" s="40">
        <f t="shared" si="5"/>
        <v>4395.82</v>
      </c>
      <c r="AD9" s="222" t="s">
        <v>80</v>
      </c>
      <c r="AE9" s="223"/>
      <c r="AF9" s="16"/>
      <c r="AG9" s="224">
        <f>H9</f>
        <v>2279.24</v>
      </c>
      <c r="AH9" s="225"/>
      <c r="AJ9" s="224">
        <f>M9</f>
        <v>2399.2</v>
      </c>
      <c r="AK9" s="225"/>
      <c r="AL9" s="102" t="s">
        <v>14</v>
      </c>
      <c r="AM9" s="20"/>
      <c r="AN9" s="12">
        <f t="shared" si="6"/>
        <v>29630.119999999995</v>
      </c>
      <c r="AO9" s="2"/>
      <c r="AP9" s="12">
        <f aca="true" t="shared" si="8" ref="AP9:AP17">AJ9*13</f>
        <v>31189.6</v>
      </c>
    </row>
    <row r="10" spans="2:42" ht="15" customHeight="1">
      <c r="B10" s="222" t="s">
        <v>100</v>
      </c>
      <c r="C10" s="223"/>
      <c r="D10" s="16"/>
      <c r="E10" s="224">
        <v>0</v>
      </c>
      <c r="F10" s="225"/>
      <c r="G10" s="16"/>
      <c r="H10" s="224">
        <f>E10*102.1%*102%*102.3%*103.8%</f>
        <v>0</v>
      </c>
      <c r="I10" s="225"/>
      <c r="M10" s="224">
        <f>H10*40/38</f>
        <v>0</v>
      </c>
      <c r="N10" s="225"/>
      <c r="O10" s="101" t="s">
        <v>14</v>
      </c>
      <c r="P10" s="39">
        <f t="shared" si="0"/>
        <v>0</v>
      </c>
      <c r="Q10" s="39">
        <f>M10-E11</f>
        <v>-766.95</v>
      </c>
      <c r="R10" s="35"/>
      <c r="S10" s="20"/>
      <c r="T10" s="12">
        <f t="shared" si="2"/>
        <v>0</v>
      </c>
      <c r="U10" s="20"/>
      <c r="V10" s="12">
        <f t="shared" si="3"/>
        <v>0</v>
      </c>
      <c r="W10" s="2"/>
      <c r="X10" s="12">
        <f t="shared" si="7"/>
        <v>0</v>
      </c>
      <c r="Y10" s="60"/>
      <c r="Z10" s="94"/>
      <c r="AA10" s="94"/>
      <c r="AD10" s="222" t="s">
        <v>101</v>
      </c>
      <c r="AE10" s="223"/>
      <c r="AF10" s="16"/>
      <c r="AG10" s="224">
        <f>H10</f>
        <v>0</v>
      </c>
      <c r="AH10" s="225"/>
      <c r="AJ10" s="224">
        <f aca="true" t="shared" si="9" ref="AJ10:AJ16">M10</f>
        <v>0</v>
      </c>
      <c r="AK10" s="225"/>
      <c r="AL10" s="102" t="s">
        <v>14</v>
      </c>
      <c r="AM10" s="20"/>
      <c r="AN10" s="12">
        <f t="shared" si="6"/>
        <v>0</v>
      </c>
      <c r="AO10" s="2"/>
      <c r="AP10" s="12">
        <f t="shared" si="8"/>
        <v>0</v>
      </c>
    </row>
    <row r="11" spans="2:42" ht="15" customHeight="1">
      <c r="B11" s="222" t="s">
        <v>97</v>
      </c>
      <c r="C11" s="223"/>
      <c r="D11" s="16"/>
      <c r="E11" s="224">
        <v>766.95</v>
      </c>
      <c r="F11" s="225"/>
      <c r="G11" s="16"/>
      <c r="H11" s="224">
        <v>848.14</v>
      </c>
      <c r="I11" s="225"/>
      <c r="M11" s="224">
        <v>848.14</v>
      </c>
      <c r="N11" s="225"/>
      <c r="O11" s="49"/>
      <c r="P11" s="39">
        <f t="shared" si="0"/>
        <v>0</v>
      </c>
      <c r="Q11" s="39">
        <f t="shared" si="1"/>
        <v>81.18999999999994</v>
      </c>
      <c r="R11" s="35"/>
      <c r="S11" s="20"/>
      <c r="T11" s="12">
        <f t="shared" si="2"/>
        <v>9970.35</v>
      </c>
      <c r="U11" s="20"/>
      <c r="V11" s="12">
        <f t="shared" si="3"/>
        <v>11025.82</v>
      </c>
      <c r="W11" s="2"/>
      <c r="X11" s="12">
        <f t="shared" si="7"/>
        <v>11025.82</v>
      </c>
      <c r="Y11" s="60"/>
      <c r="Z11" s="8">
        <f>X11-V11</f>
        <v>0</v>
      </c>
      <c r="AA11" s="8">
        <f t="shared" si="5"/>
        <v>1055.4699999999993</v>
      </c>
      <c r="AD11" s="222" t="s">
        <v>24</v>
      </c>
      <c r="AE11" s="223"/>
      <c r="AF11" s="16"/>
      <c r="AG11" s="224">
        <f>H11</f>
        <v>848.14</v>
      </c>
      <c r="AH11" s="225"/>
      <c r="AJ11" s="224">
        <f t="shared" si="9"/>
        <v>848.14</v>
      </c>
      <c r="AK11" s="225"/>
      <c r="AL11" s="35"/>
      <c r="AM11" s="20"/>
      <c r="AN11" s="12">
        <f t="shared" si="6"/>
        <v>11025.82</v>
      </c>
      <c r="AO11" s="2"/>
      <c r="AP11" s="12">
        <f t="shared" si="8"/>
        <v>11025.82</v>
      </c>
    </row>
    <row r="12" spans="2:42" ht="15" customHeight="1">
      <c r="B12" s="222" t="s">
        <v>98</v>
      </c>
      <c r="C12" s="223"/>
      <c r="D12" s="16"/>
      <c r="E12" s="224">
        <f>4089.39/12*101.2%*102%*101.7%</f>
        <v>357.7494063726</v>
      </c>
      <c r="F12" s="225"/>
      <c r="G12" s="16"/>
      <c r="H12" s="224">
        <f>4747.44/12</f>
        <v>395.61999999999995</v>
      </c>
      <c r="I12" s="225"/>
      <c r="M12" s="224">
        <f>H12</f>
        <v>395.61999999999995</v>
      </c>
      <c r="N12" s="225"/>
      <c r="O12" s="48"/>
      <c r="P12" s="39">
        <f t="shared" si="0"/>
        <v>0</v>
      </c>
      <c r="Q12" s="39">
        <f t="shared" si="1"/>
        <v>37.870593627399955</v>
      </c>
      <c r="R12" s="35"/>
      <c r="S12" s="20"/>
      <c r="T12" s="12">
        <f t="shared" si="2"/>
        <v>4650.7422828438</v>
      </c>
      <c r="U12" s="20"/>
      <c r="V12" s="12">
        <f t="shared" si="3"/>
        <v>5143.0599999999995</v>
      </c>
      <c r="W12" s="2"/>
      <c r="X12" s="12">
        <f t="shared" si="7"/>
        <v>5143.0599999999995</v>
      </c>
      <c r="Y12" s="60"/>
      <c r="Z12" s="8">
        <f t="shared" si="4"/>
        <v>0</v>
      </c>
      <c r="AA12" s="8">
        <f t="shared" si="5"/>
        <v>492.31771715619925</v>
      </c>
      <c r="AD12" s="222" t="s">
        <v>25</v>
      </c>
      <c r="AE12" s="223"/>
      <c r="AF12" s="16"/>
      <c r="AG12" s="224">
        <f>H12</f>
        <v>395.61999999999995</v>
      </c>
      <c r="AH12" s="225"/>
      <c r="AJ12" s="224">
        <f t="shared" si="9"/>
        <v>395.61999999999995</v>
      </c>
      <c r="AK12" s="225"/>
      <c r="AL12" s="35"/>
      <c r="AM12" s="20"/>
      <c r="AN12" s="12">
        <f t="shared" si="6"/>
        <v>5143.0599999999995</v>
      </c>
      <c r="AO12" s="2"/>
      <c r="AP12" s="12">
        <f t="shared" si="8"/>
        <v>5143.0599999999995</v>
      </c>
    </row>
    <row r="13" spans="2:42" ht="15" customHeight="1">
      <c r="B13" s="222" t="s">
        <v>21</v>
      </c>
      <c r="C13" s="223"/>
      <c r="D13" s="16"/>
      <c r="E13" s="224">
        <f>12378.31/12*101.2%*102%*101.7%</f>
        <v>1082.8835240454002</v>
      </c>
      <c r="F13" s="225"/>
      <c r="G13" s="16"/>
      <c r="H13" s="224">
        <f>E13*102.1%*102%*102.3%*103.8%</f>
        <v>1197.514131500754</v>
      </c>
      <c r="I13" s="225"/>
      <c r="M13" s="224">
        <f>H13</f>
        <v>1197.514131500754</v>
      </c>
      <c r="N13" s="225"/>
      <c r="O13" s="49"/>
      <c r="P13" s="39">
        <f t="shared" si="0"/>
        <v>0</v>
      </c>
      <c r="Q13" s="39">
        <f t="shared" si="1"/>
        <v>114.63060745535381</v>
      </c>
      <c r="R13" s="35"/>
      <c r="S13" s="20"/>
      <c r="T13" s="12">
        <f t="shared" si="2"/>
        <v>14077.485812590203</v>
      </c>
      <c r="U13" s="20"/>
      <c r="V13" s="12">
        <f t="shared" si="3"/>
        <v>15567.683709509802</v>
      </c>
      <c r="W13" s="2"/>
      <c r="X13" s="12">
        <f t="shared" si="7"/>
        <v>15567.683709509802</v>
      </c>
      <c r="Y13" s="60"/>
      <c r="Z13" s="8">
        <f t="shared" si="4"/>
        <v>0</v>
      </c>
      <c r="AA13" s="8">
        <f t="shared" si="5"/>
        <v>1490.1978969195989</v>
      </c>
      <c r="AD13" s="222" t="s">
        <v>26</v>
      </c>
      <c r="AE13" s="223"/>
      <c r="AF13" s="16"/>
      <c r="AG13" s="224">
        <f>H13</f>
        <v>1197.514131500754</v>
      </c>
      <c r="AH13" s="225"/>
      <c r="AJ13" s="224">
        <f t="shared" si="9"/>
        <v>1197.514131500754</v>
      </c>
      <c r="AK13" s="225"/>
      <c r="AL13" s="35"/>
      <c r="AM13" s="20"/>
      <c r="AN13" s="12">
        <f t="shared" si="6"/>
        <v>15567.683709509802</v>
      </c>
      <c r="AO13" s="2"/>
      <c r="AP13" s="12">
        <f t="shared" si="8"/>
        <v>15567.683709509802</v>
      </c>
    </row>
    <row r="14" spans="1:42" ht="15" customHeight="1">
      <c r="A14" s="88" t="s">
        <v>121</v>
      </c>
      <c r="B14" s="222" t="s">
        <v>85</v>
      </c>
      <c r="C14" s="223"/>
      <c r="D14" s="16"/>
      <c r="E14" s="214"/>
      <c r="F14" s="215"/>
      <c r="G14" s="16"/>
      <c r="H14" s="214"/>
      <c r="I14" s="215"/>
      <c r="M14" s="204">
        <v>600</v>
      </c>
      <c r="N14" s="204"/>
      <c r="O14" s="73"/>
      <c r="P14" s="39">
        <f t="shared" si="0"/>
        <v>600</v>
      </c>
      <c r="Q14" s="39">
        <f t="shared" si="1"/>
        <v>600</v>
      </c>
      <c r="R14" s="35"/>
      <c r="S14" s="20"/>
      <c r="T14" s="12"/>
      <c r="U14" s="20"/>
      <c r="V14" s="31"/>
      <c r="W14" s="2"/>
      <c r="X14" s="12">
        <f t="shared" si="7"/>
        <v>7800</v>
      </c>
      <c r="Y14" s="60"/>
      <c r="Z14" s="8">
        <f>X14-V14</f>
        <v>7800</v>
      </c>
      <c r="AA14" s="8">
        <f t="shared" si="5"/>
        <v>7800</v>
      </c>
      <c r="AC14" s="88" t="s">
        <v>123</v>
      </c>
      <c r="AD14" s="222" t="s">
        <v>27</v>
      </c>
      <c r="AE14" s="223"/>
      <c r="AF14" s="16"/>
      <c r="AG14" s="214"/>
      <c r="AH14" s="215"/>
      <c r="AJ14" s="224">
        <f t="shared" si="9"/>
        <v>600</v>
      </c>
      <c r="AK14" s="225"/>
      <c r="AL14" s="35"/>
      <c r="AM14" s="20"/>
      <c r="AN14" s="31"/>
      <c r="AO14" s="2"/>
      <c r="AP14" s="12">
        <f t="shared" si="8"/>
        <v>7800</v>
      </c>
    </row>
    <row r="15" spans="1:42" ht="15" customHeight="1">
      <c r="A15" s="88" t="s">
        <v>116</v>
      </c>
      <c r="B15" s="222" t="s">
        <v>41</v>
      </c>
      <c r="C15" s="223"/>
      <c r="D15" s="16"/>
      <c r="E15" s="214"/>
      <c r="F15" s="215"/>
      <c r="G15" s="16"/>
      <c r="H15" s="214"/>
      <c r="I15" s="215"/>
      <c r="M15" s="224">
        <f>(2253.3)/13</f>
        <v>173.33076923076925</v>
      </c>
      <c r="N15" s="225"/>
      <c r="O15" s="73"/>
      <c r="P15" s="39">
        <f t="shared" si="0"/>
        <v>173.33076923076925</v>
      </c>
      <c r="Q15" s="39">
        <f t="shared" si="1"/>
        <v>173.33076923076925</v>
      </c>
      <c r="R15" s="35"/>
      <c r="S15" s="20"/>
      <c r="T15" s="12"/>
      <c r="U15" s="20"/>
      <c r="V15" s="31"/>
      <c r="W15" s="2"/>
      <c r="X15" s="12">
        <f t="shared" si="7"/>
        <v>2253.3</v>
      </c>
      <c r="Y15" s="60"/>
      <c r="Z15" s="8">
        <f>X15-V15</f>
        <v>2253.3</v>
      </c>
      <c r="AA15" s="97">
        <f t="shared" si="5"/>
        <v>2253.3</v>
      </c>
      <c r="AC15" s="88" t="s">
        <v>117</v>
      </c>
      <c r="AD15" s="222" t="s">
        <v>44</v>
      </c>
      <c r="AE15" s="223"/>
      <c r="AF15" s="16"/>
      <c r="AG15" s="214"/>
      <c r="AH15" s="215"/>
      <c r="AJ15" s="224">
        <f t="shared" si="9"/>
        <v>173.33076923076925</v>
      </c>
      <c r="AK15" s="225"/>
      <c r="AL15" s="35"/>
      <c r="AM15" s="20"/>
      <c r="AN15" s="31"/>
      <c r="AO15" s="2"/>
      <c r="AP15" s="12">
        <f t="shared" si="8"/>
        <v>2253.3</v>
      </c>
    </row>
    <row r="16" spans="1:42" ht="15" customHeight="1" thickBot="1">
      <c r="A16" s="88" t="s">
        <v>122</v>
      </c>
      <c r="B16" s="222" t="s">
        <v>109</v>
      </c>
      <c r="C16" s="223"/>
      <c r="D16" s="16"/>
      <c r="E16" s="214"/>
      <c r="F16" s="215"/>
      <c r="G16" s="16"/>
      <c r="H16" s="214"/>
      <c r="I16" s="215"/>
      <c r="K16" s="41" t="s">
        <v>20</v>
      </c>
      <c r="L16" s="1">
        <f>((H24+H28+H30)-((P15/2)+P9+P10+P11+P12+P13+P14))-((((P15/2)+P9+P10+P11+P12+P14)/13)+(((H24+H28+H30)-((P15/2)+P9+P10+P11+P12+P14))/13))</f>
        <v>504.89615384615365</v>
      </c>
      <c r="M16" s="224">
        <f>IF(L16&gt;0,L16,0)</f>
        <v>504.89615384615365</v>
      </c>
      <c r="N16" s="225"/>
      <c r="O16" s="73"/>
      <c r="P16" s="39">
        <f>M16</f>
        <v>504.89615384615365</v>
      </c>
      <c r="Q16" s="20"/>
      <c r="R16" s="35"/>
      <c r="S16" s="20"/>
      <c r="T16" s="12"/>
      <c r="U16" s="20"/>
      <c r="V16" s="31"/>
      <c r="W16" s="2"/>
      <c r="X16" s="12">
        <f t="shared" si="7"/>
        <v>6563.649999999998</v>
      </c>
      <c r="Y16" s="60"/>
      <c r="Z16" s="8">
        <f>X16-V16</f>
        <v>6563.649999999998</v>
      </c>
      <c r="AA16" s="43">
        <f t="shared" si="5"/>
        <v>6563.649999999998</v>
      </c>
      <c r="AC16" s="88" t="s">
        <v>124</v>
      </c>
      <c r="AD16" s="222" t="s">
        <v>84</v>
      </c>
      <c r="AE16" s="223"/>
      <c r="AF16" s="16"/>
      <c r="AG16" s="214"/>
      <c r="AH16" s="215"/>
      <c r="AJ16" s="224">
        <f t="shared" si="9"/>
        <v>504.89615384615365</v>
      </c>
      <c r="AK16" s="225"/>
      <c r="AL16" s="35"/>
      <c r="AM16" s="20"/>
      <c r="AN16" s="31"/>
      <c r="AO16" s="2"/>
      <c r="AP16" s="12">
        <f t="shared" si="8"/>
        <v>6563.649999999998</v>
      </c>
    </row>
    <row r="17" spans="2:42" ht="28.5" customHeight="1" thickBot="1">
      <c r="B17" s="209" t="s">
        <v>4</v>
      </c>
      <c r="C17" s="210"/>
      <c r="D17" s="14"/>
      <c r="E17" s="227">
        <f>F18</f>
        <v>0</v>
      </c>
      <c r="F17" s="228"/>
      <c r="G17" s="14"/>
      <c r="H17" s="227">
        <f>I18</f>
        <v>0</v>
      </c>
      <c r="I17" s="228"/>
      <c r="K17" s="3"/>
      <c r="L17" s="6"/>
      <c r="M17" s="227">
        <f>N18</f>
        <v>0</v>
      </c>
      <c r="N17" s="228"/>
      <c r="O17" s="50"/>
      <c r="P17" s="28">
        <f>M17-H17</f>
        <v>0</v>
      </c>
      <c r="Q17" s="28">
        <f t="shared" si="1"/>
        <v>0</v>
      </c>
      <c r="R17" s="34"/>
      <c r="S17" s="21">
        <v>13</v>
      </c>
      <c r="T17" s="26">
        <f>E17*13</f>
        <v>0</v>
      </c>
      <c r="U17" s="21"/>
      <c r="V17" s="26">
        <f>H17*13</f>
        <v>0</v>
      </c>
      <c r="W17" s="15"/>
      <c r="X17" s="26">
        <f t="shared" si="7"/>
        <v>0</v>
      </c>
      <c r="Y17" s="19"/>
      <c r="Z17" s="28">
        <f t="shared" si="4"/>
        <v>0</v>
      </c>
      <c r="AA17" s="28">
        <v>0</v>
      </c>
      <c r="AD17" s="209" t="s">
        <v>29</v>
      </c>
      <c r="AE17" s="210"/>
      <c r="AF17" s="14"/>
      <c r="AG17" s="227">
        <f>AH18</f>
        <v>0</v>
      </c>
      <c r="AH17" s="228"/>
      <c r="AJ17" s="227">
        <f>AK18</f>
        <v>0</v>
      </c>
      <c r="AK17" s="228"/>
      <c r="AL17" s="34"/>
      <c r="AM17" s="21">
        <v>13</v>
      </c>
      <c r="AN17" s="26">
        <f>AG17*13</f>
        <v>0</v>
      </c>
      <c r="AO17" s="15"/>
      <c r="AP17" s="26">
        <f t="shared" si="8"/>
        <v>0</v>
      </c>
    </row>
    <row r="18" spans="2:42" ht="15" customHeight="1">
      <c r="B18" s="222" t="s">
        <v>5</v>
      </c>
      <c r="C18" s="223"/>
      <c r="D18" s="16"/>
      <c r="E18" s="9"/>
      <c r="F18" s="5"/>
      <c r="G18" s="16"/>
      <c r="H18" s="9"/>
      <c r="I18" s="5"/>
      <c r="M18" s="9"/>
      <c r="N18" s="5"/>
      <c r="O18" s="65"/>
      <c r="P18" s="10"/>
      <c r="Q18" s="10"/>
      <c r="R18" s="36"/>
      <c r="T18" s="12"/>
      <c r="V18" s="12"/>
      <c r="W18" s="2"/>
      <c r="X18" s="12"/>
      <c r="Y18" s="60"/>
      <c r="Z18" s="10"/>
      <c r="AA18" s="10"/>
      <c r="AD18" s="222" t="s">
        <v>30</v>
      </c>
      <c r="AE18" s="223"/>
      <c r="AF18" s="16"/>
      <c r="AG18" s="9"/>
      <c r="AH18" s="5"/>
      <c r="AJ18" s="9"/>
      <c r="AK18" s="5"/>
      <c r="AL18" s="36"/>
      <c r="AM18" s="2"/>
      <c r="AN18" s="12"/>
      <c r="AO18" s="2"/>
      <c r="AP18" s="12"/>
    </row>
    <row r="19" spans="2:42" ht="15" customHeight="1">
      <c r="B19" s="222" t="s">
        <v>92</v>
      </c>
      <c r="C19" s="223"/>
      <c r="D19" s="16"/>
      <c r="E19" s="4"/>
      <c r="F19" s="5"/>
      <c r="G19" s="16"/>
      <c r="H19" s="4"/>
      <c r="I19" s="5"/>
      <c r="M19" s="4"/>
      <c r="N19" s="5"/>
      <c r="P19" s="10"/>
      <c r="Q19" s="10"/>
      <c r="R19" s="36"/>
      <c r="S19" s="62"/>
      <c r="T19" s="12"/>
      <c r="U19" s="62"/>
      <c r="V19" s="12"/>
      <c r="W19" s="2"/>
      <c r="X19" s="12"/>
      <c r="Y19" s="60"/>
      <c r="Z19" s="10"/>
      <c r="AA19" s="10"/>
      <c r="AD19" s="222" t="s">
        <v>91</v>
      </c>
      <c r="AE19" s="223"/>
      <c r="AF19" s="16"/>
      <c r="AG19" s="4"/>
      <c r="AH19" s="5"/>
      <c r="AJ19" s="4"/>
      <c r="AK19" s="5"/>
      <c r="AL19" s="36"/>
      <c r="AM19" s="62"/>
      <c r="AN19" s="12"/>
      <c r="AO19" s="2"/>
      <c r="AP19" s="12"/>
    </row>
    <row r="20" spans="2:42" ht="15" customHeight="1" thickBot="1">
      <c r="B20" s="222" t="s">
        <v>6</v>
      </c>
      <c r="C20" s="223"/>
      <c r="D20" s="16"/>
      <c r="E20" s="4"/>
      <c r="F20" s="5"/>
      <c r="G20" s="16"/>
      <c r="H20" s="4"/>
      <c r="I20" s="5"/>
      <c r="M20" s="4"/>
      <c r="N20" s="5"/>
      <c r="O20" s="70"/>
      <c r="P20" s="10"/>
      <c r="Q20" s="10"/>
      <c r="R20" s="36"/>
      <c r="T20" s="12"/>
      <c r="V20" s="12"/>
      <c r="W20" s="2"/>
      <c r="X20" s="12"/>
      <c r="Y20" s="60"/>
      <c r="Z20" s="10"/>
      <c r="AA20" s="10"/>
      <c r="AD20" s="222" t="s">
        <v>31</v>
      </c>
      <c r="AE20" s="223"/>
      <c r="AF20" s="16"/>
      <c r="AG20" s="4"/>
      <c r="AH20" s="5"/>
      <c r="AJ20" s="4"/>
      <c r="AK20" s="5"/>
      <c r="AL20" s="36"/>
      <c r="AM20" s="2"/>
      <c r="AN20" s="12"/>
      <c r="AO20" s="2"/>
      <c r="AP20" s="12"/>
    </row>
    <row r="21" spans="2:42" ht="15" customHeight="1" hidden="1" outlineLevel="1" thickBot="1">
      <c r="B21" s="222" t="s">
        <v>66</v>
      </c>
      <c r="C21" s="223"/>
      <c r="D21" s="16"/>
      <c r="E21" s="5"/>
      <c r="F21" s="5"/>
      <c r="G21" s="16"/>
      <c r="H21" s="5"/>
      <c r="I21" s="5"/>
      <c r="M21" s="5"/>
      <c r="N21" s="5"/>
      <c r="P21" s="10"/>
      <c r="Q21" s="10"/>
      <c r="R21" s="36"/>
      <c r="T21" s="12"/>
      <c r="V21" s="12"/>
      <c r="W21" s="2"/>
      <c r="X21" s="12"/>
      <c r="Y21" s="60"/>
      <c r="Z21" s="10"/>
      <c r="AA21" s="10"/>
      <c r="AD21" s="222" t="s">
        <v>32</v>
      </c>
      <c r="AE21" s="223"/>
      <c r="AF21" s="16"/>
      <c r="AG21" s="5"/>
      <c r="AH21" s="5"/>
      <c r="AJ21" s="5"/>
      <c r="AK21" s="5"/>
      <c r="AL21" s="36"/>
      <c r="AM21" s="2"/>
      <c r="AN21" s="12"/>
      <c r="AO21" s="2"/>
      <c r="AP21" s="12"/>
    </row>
    <row r="22" spans="2:42" ht="28.5" customHeight="1" collapsed="1" thickBot="1">
      <c r="B22" s="209" t="s">
        <v>7</v>
      </c>
      <c r="C22" s="210"/>
      <c r="D22" s="14"/>
      <c r="E22" s="227">
        <f>E24</f>
        <v>1420.8149999999998</v>
      </c>
      <c r="F22" s="228"/>
      <c r="G22" s="14"/>
      <c r="H22" s="227">
        <f>H24</f>
        <v>1420.8149999999998</v>
      </c>
      <c r="I22" s="228"/>
      <c r="J22" s="3"/>
      <c r="K22" s="3"/>
      <c r="L22" s="3"/>
      <c r="M22" s="227">
        <f>M23</f>
        <v>0</v>
      </c>
      <c r="N22" s="228"/>
      <c r="P22" s="28">
        <f>M22-H22</f>
        <v>-1420.8149999999998</v>
      </c>
      <c r="Q22" s="28">
        <f>M22-E22</f>
        <v>-1420.8149999999998</v>
      </c>
      <c r="R22" s="34"/>
      <c r="S22" s="21">
        <v>12</v>
      </c>
      <c r="T22" s="26">
        <f>E22*12</f>
        <v>17049.78</v>
      </c>
      <c r="U22" s="21"/>
      <c r="V22" s="26">
        <f>H22*12</f>
        <v>17049.78</v>
      </c>
      <c r="W22" s="15"/>
      <c r="X22" s="25">
        <f>M22*12</f>
        <v>0</v>
      </c>
      <c r="Y22" s="22"/>
      <c r="Z22" s="28">
        <f>X22-V22</f>
        <v>-17049.78</v>
      </c>
      <c r="AA22" s="28">
        <f>X22-T22</f>
        <v>-17049.78</v>
      </c>
      <c r="AD22" s="209" t="s">
        <v>33</v>
      </c>
      <c r="AE22" s="210"/>
      <c r="AF22" s="14"/>
      <c r="AG22" s="227">
        <f>AG24</f>
        <v>1420.8149999999998</v>
      </c>
      <c r="AH22" s="228"/>
      <c r="AI22" s="3"/>
      <c r="AJ22" s="227">
        <f>AJ23</f>
        <v>0</v>
      </c>
      <c r="AK22" s="228"/>
      <c r="AL22" s="34"/>
      <c r="AM22" s="21">
        <v>12</v>
      </c>
      <c r="AN22" s="26">
        <f>AG22*12</f>
        <v>17049.78</v>
      </c>
      <c r="AO22" s="15"/>
      <c r="AP22" s="25">
        <f>AJ22*12</f>
        <v>0</v>
      </c>
    </row>
    <row r="23" spans="2:42" ht="15" customHeight="1">
      <c r="B23" s="17" t="s">
        <v>90</v>
      </c>
      <c r="C23" s="7">
        <v>0</v>
      </c>
      <c r="D23" s="16"/>
      <c r="E23" s="224">
        <v>0</v>
      </c>
      <c r="F23" s="225"/>
      <c r="G23" s="16"/>
      <c r="H23" s="224">
        <v>0</v>
      </c>
      <c r="I23" s="225"/>
      <c r="M23" s="224">
        <v>0</v>
      </c>
      <c r="N23" s="225"/>
      <c r="R23" s="63"/>
      <c r="T23" s="12">
        <v>0</v>
      </c>
      <c r="V23" s="12">
        <v>0</v>
      </c>
      <c r="W23" s="2"/>
      <c r="X23" s="12">
        <v>0</v>
      </c>
      <c r="Y23" s="22"/>
      <c r="Z23" s="2"/>
      <c r="AA23" s="2"/>
      <c r="AD23" s="17" t="s">
        <v>89</v>
      </c>
      <c r="AE23" s="7">
        <v>0</v>
      </c>
      <c r="AF23" s="16"/>
      <c r="AG23" s="224">
        <f>H23</f>
        <v>0</v>
      </c>
      <c r="AH23" s="225"/>
      <c r="AJ23" s="224">
        <v>0</v>
      </c>
      <c r="AK23" s="225"/>
      <c r="AL23" s="63"/>
      <c r="AM23" s="2"/>
      <c r="AN23" s="12">
        <v>0</v>
      </c>
      <c r="AO23" s="2"/>
      <c r="AP23" s="12">
        <v>0</v>
      </c>
    </row>
    <row r="24" spans="2:42" ht="15" customHeight="1">
      <c r="B24" s="17" t="s">
        <v>45</v>
      </c>
      <c r="C24" s="11">
        <v>3</v>
      </c>
      <c r="D24" s="16"/>
      <c r="E24" s="224">
        <f>109*C24*4.345</f>
        <v>1420.8149999999998</v>
      </c>
      <c r="F24" s="225"/>
      <c r="G24" s="16"/>
      <c r="H24" s="224">
        <f>109*C24*4.345</f>
        <v>1420.8149999999998</v>
      </c>
      <c r="I24" s="225"/>
      <c r="M24" s="214"/>
      <c r="N24" s="215"/>
      <c r="R24" s="63"/>
      <c r="T24" s="12">
        <f>E24*12</f>
        <v>17049.78</v>
      </c>
      <c r="V24" s="12">
        <f>H24*12</f>
        <v>17049.78</v>
      </c>
      <c r="W24" s="2"/>
      <c r="X24" s="31"/>
      <c r="Y24" s="64"/>
      <c r="Z24" s="2"/>
      <c r="AA24" s="2"/>
      <c r="AD24" s="17" t="s">
        <v>46</v>
      </c>
      <c r="AE24" s="11">
        <f>C24</f>
        <v>3</v>
      </c>
      <c r="AF24" s="16"/>
      <c r="AG24" s="224">
        <f>H24</f>
        <v>1420.8149999999998</v>
      </c>
      <c r="AH24" s="225"/>
      <c r="AJ24" s="214"/>
      <c r="AK24" s="215"/>
      <c r="AL24" s="63"/>
      <c r="AM24" s="2"/>
      <c r="AN24" s="12">
        <f>AG24*12</f>
        <v>17049.78</v>
      </c>
      <c r="AO24" s="2"/>
      <c r="AP24" s="31"/>
    </row>
    <row r="25" spans="2:42" ht="15" customHeight="1" thickBot="1">
      <c r="B25" s="17" t="s">
        <v>99</v>
      </c>
      <c r="C25" s="7"/>
      <c r="D25" s="16"/>
      <c r="E25" s="214"/>
      <c r="F25" s="215"/>
      <c r="G25" s="16"/>
      <c r="H25" s="214"/>
      <c r="I25" s="215"/>
      <c r="M25" s="214"/>
      <c r="N25" s="215"/>
      <c r="O25" s="44"/>
      <c r="P25" s="23"/>
      <c r="Q25" s="23"/>
      <c r="R25" s="24"/>
      <c r="S25" s="24"/>
      <c r="T25" s="31"/>
      <c r="U25" s="24"/>
      <c r="V25" s="31"/>
      <c r="W25" s="2"/>
      <c r="X25" s="31"/>
      <c r="Y25" s="22"/>
      <c r="Z25" s="23"/>
      <c r="AA25" s="23"/>
      <c r="AD25" s="17" t="s">
        <v>34</v>
      </c>
      <c r="AE25" s="7"/>
      <c r="AF25" s="16"/>
      <c r="AG25" s="214"/>
      <c r="AH25" s="215"/>
      <c r="AJ25" s="214"/>
      <c r="AK25" s="215"/>
      <c r="AL25" s="24"/>
      <c r="AM25" s="24"/>
      <c r="AN25" s="31"/>
      <c r="AO25" s="2"/>
      <c r="AP25" s="31"/>
    </row>
    <row r="26" spans="2:42" ht="23.25" customHeight="1" hidden="1" outlineLevel="1">
      <c r="B26" s="209" t="s">
        <v>16</v>
      </c>
      <c r="C26" s="210"/>
      <c r="D26" s="16"/>
      <c r="E26" s="205">
        <f>E28+E30</f>
        <v>0</v>
      </c>
      <c r="F26" s="206"/>
      <c r="G26" s="16"/>
      <c r="H26" s="205">
        <f>H28+H30</f>
        <v>0</v>
      </c>
      <c r="I26" s="206"/>
      <c r="M26" s="205"/>
      <c r="N26" s="206"/>
      <c r="R26" s="63"/>
      <c r="S26" s="21">
        <v>12</v>
      </c>
      <c r="T26" s="26">
        <f>E26*12</f>
        <v>0</v>
      </c>
      <c r="U26" s="21"/>
      <c r="V26" s="26">
        <f>V28</f>
        <v>0</v>
      </c>
      <c r="W26" s="15"/>
      <c r="X26" s="26"/>
      <c r="Y26" s="19"/>
      <c r="Z26" s="2"/>
      <c r="AA26" s="2"/>
      <c r="AD26" s="209" t="s">
        <v>35</v>
      </c>
      <c r="AE26" s="210"/>
      <c r="AF26" s="16"/>
      <c r="AG26" s="205">
        <f>AG28+AG30</f>
        <v>0</v>
      </c>
      <c r="AH26" s="206"/>
      <c r="AJ26" s="205"/>
      <c r="AK26" s="206"/>
      <c r="AL26" s="63"/>
      <c r="AM26" s="21">
        <v>12</v>
      </c>
      <c r="AN26" s="26">
        <f>AN28</f>
        <v>0</v>
      </c>
      <c r="AO26" s="15"/>
      <c r="AP26" s="26"/>
    </row>
    <row r="27" spans="2:42" ht="15" customHeight="1" hidden="1" outlineLevel="1">
      <c r="B27" s="222" t="s">
        <v>10</v>
      </c>
      <c r="C27" s="223"/>
      <c r="D27" s="18"/>
      <c r="E27" s="214"/>
      <c r="F27" s="215"/>
      <c r="G27" s="18"/>
      <c r="H27" s="214"/>
      <c r="I27" s="215"/>
      <c r="M27" s="214"/>
      <c r="N27" s="215"/>
      <c r="R27" s="63"/>
      <c r="S27" s="21"/>
      <c r="T27" s="31"/>
      <c r="U27" s="21"/>
      <c r="V27" s="31"/>
      <c r="W27" s="2"/>
      <c r="X27" s="31"/>
      <c r="Y27" s="68"/>
      <c r="Z27" s="2"/>
      <c r="AA27" s="2"/>
      <c r="AD27" s="222" t="s">
        <v>40</v>
      </c>
      <c r="AE27" s="223"/>
      <c r="AF27" s="16"/>
      <c r="AG27" s="214"/>
      <c r="AH27" s="215"/>
      <c r="AJ27" s="214"/>
      <c r="AK27" s="215"/>
      <c r="AL27" s="63"/>
      <c r="AM27" s="21"/>
      <c r="AN27" s="31"/>
      <c r="AO27" s="2"/>
      <c r="AP27" s="31"/>
    </row>
    <row r="28" spans="2:42" ht="15" customHeight="1" hidden="1" outlineLevel="1">
      <c r="B28" s="222" t="s">
        <v>11</v>
      </c>
      <c r="C28" s="223"/>
      <c r="D28" s="18"/>
      <c r="E28" s="204"/>
      <c r="F28" s="204"/>
      <c r="G28" s="18"/>
      <c r="H28" s="214"/>
      <c r="I28" s="215"/>
      <c r="M28" s="214"/>
      <c r="N28" s="215"/>
      <c r="R28" s="63"/>
      <c r="T28" s="12">
        <f>E28*12</f>
        <v>0</v>
      </c>
      <c r="V28" s="31"/>
      <c r="W28" s="2"/>
      <c r="X28" s="31"/>
      <c r="Y28" s="68"/>
      <c r="Z28" s="2"/>
      <c r="AA28" s="2"/>
      <c r="AD28" s="222" t="s">
        <v>36</v>
      </c>
      <c r="AE28" s="223"/>
      <c r="AF28" s="16"/>
      <c r="AG28" s="214"/>
      <c r="AH28" s="215"/>
      <c r="AJ28" s="214"/>
      <c r="AK28" s="215"/>
      <c r="AL28" s="63"/>
      <c r="AM28" s="2"/>
      <c r="AN28" s="31"/>
      <c r="AO28" s="2"/>
      <c r="AP28" s="31"/>
    </row>
    <row r="29" spans="2:42" ht="15" customHeight="1" hidden="1" outlineLevel="1">
      <c r="B29" s="222" t="s">
        <v>12</v>
      </c>
      <c r="C29" s="223"/>
      <c r="D29" s="18"/>
      <c r="E29" s="214"/>
      <c r="F29" s="215"/>
      <c r="G29" s="18"/>
      <c r="H29" s="214"/>
      <c r="I29" s="215"/>
      <c r="M29" s="214"/>
      <c r="N29" s="215"/>
      <c r="R29" s="63"/>
      <c r="T29" s="31"/>
      <c r="V29" s="31"/>
      <c r="W29" s="2"/>
      <c r="X29" s="31"/>
      <c r="Y29" s="68"/>
      <c r="Z29" s="2"/>
      <c r="AA29" s="2"/>
      <c r="AD29" s="222" t="s">
        <v>37</v>
      </c>
      <c r="AE29" s="223"/>
      <c r="AF29" s="16"/>
      <c r="AG29" s="214"/>
      <c r="AH29" s="215"/>
      <c r="AJ29" s="214"/>
      <c r="AK29" s="215"/>
      <c r="AL29" s="63"/>
      <c r="AM29" s="2"/>
      <c r="AN29" s="31"/>
      <c r="AO29" s="2"/>
      <c r="AP29" s="31"/>
    </row>
    <row r="30" spans="2:42" ht="15" customHeight="1" hidden="1" outlineLevel="1" thickBot="1">
      <c r="B30" s="222" t="s">
        <v>13</v>
      </c>
      <c r="C30" s="223"/>
      <c r="D30" s="18"/>
      <c r="E30" s="224"/>
      <c r="F30" s="225"/>
      <c r="G30" s="18"/>
      <c r="H30" s="214"/>
      <c r="I30" s="215"/>
      <c r="M30" s="214"/>
      <c r="N30" s="215"/>
      <c r="P30" s="1"/>
      <c r="Q30" s="1"/>
      <c r="R30" s="63"/>
      <c r="T30" s="12">
        <f>E30*12</f>
        <v>0</v>
      </c>
      <c r="V30" s="31"/>
      <c r="W30" s="2"/>
      <c r="X30" s="31"/>
      <c r="Y30" s="68"/>
      <c r="AD30" s="222" t="s">
        <v>38</v>
      </c>
      <c r="AE30" s="223"/>
      <c r="AF30" s="16"/>
      <c r="AG30" s="214"/>
      <c r="AH30" s="215"/>
      <c r="AJ30" s="214"/>
      <c r="AK30" s="215"/>
      <c r="AL30" s="63"/>
      <c r="AM30" s="2"/>
      <c r="AN30" s="31"/>
      <c r="AO30" s="2"/>
      <c r="AP30" s="31"/>
    </row>
    <row r="31" spans="2:42" ht="28.5" customHeight="1" collapsed="1" thickBot="1">
      <c r="B31" s="207" t="s">
        <v>42</v>
      </c>
      <c r="C31" s="208"/>
      <c r="D31" s="18"/>
      <c r="E31" s="217">
        <f>E8+E17+E22+E26</f>
        <v>5689.457930418</v>
      </c>
      <c r="F31" s="218"/>
      <c r="G31" s="18"/>
      <c r="H31" s="217">
        <f>H8+H17+H22</f>
        <v>6141.329131500753</v>
      </c>
      <c r="I31" s="218"/>
      <c r="M31" s="217">
        <f>M8+M17+M22</f>
        <v>6118.701054577677</v>
      </c>
      <c r="N31" s="218"/>
      <c r="O31" s="45"/>
      <c r="P31" s="28">
        <f>M31-H31</f>
        <v>-22.62807692307615</v>
      </c>
      <c r="Q31" s="28">
        <f>M31-E31</f>
        <v>429.2431241596769</v>
      </c>
      <c r="R31" s="34"/>
      <c r="S31" s="13"/>
      <c r="T31" s="37">
        <f>T8+T17+T22+T26</f>
        <v>72542.138095434</v>
      </c>
      <c r="U31" s="13"/>
      <c r="V31" s="37">
        <f>V8+V17+V22</f>
        <v>78416.46370950979</v>
      </c>
      <c r="W31" s="15"/>
      <c r="X31" s="37">
        <f>X8+X17+X22</f>
        <v>79543.1137095098</v>
      </c>
      <c r="Y31" s="29"/>
      <c r="Z31" s="28">
        <f>X31-V31</f>
        <v>1126.6500000000087</v>
      </c>
      <c r="AA31" s="28">
        <f>X31-T31</f>
        <v>7000.975614075796</v>
      </c>
      <c r="AB31" s="30"/>
      <c r="AC31" s="30"/>
      <c r="AD31" s="207" t="s">
        <v>43</v>
      </c>
      <c r="AE31" s="208"/>
      <c r="AF31" s="18"/>
      <c r="AG31" s="217">
        <f>AG8+AG17+AG22</f>
        <v>6141.329131500753</v>
      </c>
      <c r="AH31" s="218"/>
      <c r="AJ31" s="217">
        <f>AJ8+AJ17+AJ22</f>
        <v>6118.701054577677</v>
      </c>
      <c r="AK31" s="218"/>
      <c r="AL31" s="34"/>
      <c r="AM31" s="13"/>
      <c r="AN31" s="37">
        <f>AN8+AN17+AN22</f>
        <v>78416.46370950979</v>
      </c>
      <c r="AO31" s="15"/>
      <c r="AP31" s="37">
        <f>AP8+AP17+AP22</f>
        <v>79543.1137095098</v>
      </c>
    </row>
    <row r="32" spans="13:32" ht="12.75" customHeight="1">
      <c r="M32" s="1"/>
      <c r="N32" s="1"/>
      <c r="R32" s="63"/>
      <c r="T32" s="3"/>
      <c r="AD32" s="1"/>
      <c r="AE32" s="1"/>
      <c r="AF32" s="1"/>
    </row>
    <row r="33" spans="1:30" ht="12.75" customHeight="1">
      <c r="A33" s="88" t="s">
        <v>62</v>
      </c>
      <c r="B33" s="1" t="s">
        <v>88</v>
      </c>
      <c r="M33" s="1"/>
      <c r="N33" s="1"/>
      <c r="R33" s="63"/>
      <c r="AC33" s="88" t="s">
        <v>62</v>
      </c>
      <c r="AD33" s="1" t="s">
        <v>207</v>
      </c>
    </row>
    <row r="34" spans="1:30" ht="12.75" customHeight="1">
      <c r="A34" s="88"/>
      <c r="M34" s="1"/>
      <c r="N34" s="1"/>
      <c r="AC34" s="88"/>
      <c r="AD34" s="1"/>
    </row>
    <row r="35" spans="1:30" ht="12.75" customHeight="1">
      <c r="A35" s="88" t="s">
        <v>63</v>
      </c>
      <c r="B35" s="1" t="s">
        <v>110</v>
      </c>
      <c r="AC35" s="88" t="s">
        <v>63</v>
      </c>
      <c r="AD35" s="1" t="s">
        <v>211</v>
      </c>
    </row>
    <row r="36" spans="1:30" ht="12.75" customHeight="1">
      <c r="A36" s="88"/>
      <c r="AC36" s="88"/>
      <c r="AD36" s="1"/>
    </row>
    <row r="37" spans="1:30" ht="12.75" customHeight="1">
      <c r="A37" s="88" t="s">
        <v>64</v>
      </c>
      <c r="B37" s="1" t="s">
        <v>76</v>
      </c>
      <c r="AC37" s="88" t="s">
        <v>64</v>
      </c>
      <c r="AD37" s="1" t="s">
        <v>204</v>
      </c>
    </row>
    <row r="38" spans="2:30" ht="12.75" customHeight="1">
      <c r="B38" s="95" t="s">
        <v>77</v>
      </c>
      <c r="AD38" s="95" t="s">
        <v>216</v>
      </c>
    </row>
    <row r="39" spans="2:30" ht="12.75" customHeight="1">
      <c r="B39" s="95" t="s">
        <v>78</v>
      </c>
      <c r="AD39" s="95" t="s">
        <v>205</v>
      </c>
    </row>
    <row r="40" spans="2:30" ht="12.75" customHeight="1">
      <c r="B40" s="95" t="s">
        <v>79</v>
      </c>
      <c r="AD40" s="95" t="s">
        <v>221</v>
      </c>
    </row>
    <row r="41" spans="2:30" ht="12.75" customHeight="1">
      <c r="B41" s="1" t="s">
        <v>68</v>
      </c>
      <c r="AD41" s="1" t="s">
        <v>219</v>
      </c>
    </row>
    <row r="42" spans="2:30" ht="12.75" customHeight="1">
      <c r="B42" s="95">
        <v>17049.78</v>
      </c>
      <c r="AD42" s="95">
        <f aca="true" t="shared" si="10" ref="AD42:AD47">B42</f>
        <v>17049.78</v>
      </c>
    </row>
    <row r="43" spans="1:30" ht="12.75" customHeight="1">
      <c r="A43" s="88" t="s">
        <v>70</v>
      </c>
      <c r="B43" s="1">
        <v>7800</v>
      </c>
      <c r="AC43" s="88" t="s">
        <v>70</v>
      </c>
      <c r="AD43" s="95">
        <f t="shared" si="10"/>
        <v>7800</v>
      </c>
    </row>
    <row r="44" spans="1:30" ht="12.75" customHeight="1">
      <c r="A44" s="88" t="s">
        <v>70</v>
      </c>
      <c r="B44" s="1">
        <v>1126.65</v>
      </c>
      <c r="AC44" s="88" t="s">
        <v>70</v>
      </c>
      <c r="AD44" s="95">
        <f t="shared" si="10"/>
        <v>1126.65</v>
      </c>
    </row>
    <row r="45" spans="1:30" ht="12.75" customHeight="1">
      <c r="A45" s="88" t="s">
        <v>70</v>
      </c>
      <c r="B45" s="1">
        <v>1559.48</v>
      </c>
      <c r="AC45" s="88" t="s">
        <v>70</v>
      </c>
      <c r="AD45" s="95">
        <f t="shared" si="10"/>
        <v>1559.48</v>
      </c>
    </row>
    <row r="46" spans="2:30" ht="12.75" customHeight="1">
      <c r="B46" s="96">
        <f>B42-(B43+B44+B45)</f>
        <v>6563.65</v>
      </c>
      <c r="AD46" s="186">
        <f t="shared" si="10"/>
        <v>6563.65</v>
      </c>
    </row>
    <row r="47" spans="1:30" ht="12.75" customHeight="1">
      <c r="A47" s="88" t="s">
        <v>71</v>
      </c>
      <c r="B47" s="41">
        <f>B46/13</f>
        <v>504.8961538461538</v>
      </c>
      <c r="AC47" s="88" t="s">
        <v>71</v>
      </c>
      <c r="AD47" s="191">
        <f t="shared" si="10"/>
        <v>504.8961538461538</v>
      </c>
    </row>
    <row r="48" spans="2:30" ht="12.75" customHeight="1">
      <c r="B48" s="1" t="s">
        <v>105</v>
      </c>
      <c r="AD48" s="51" t="s">
        <v>203</v>
      </c>
    </row>
    <row r="56" ht="12.75">
      <c r="I56" s="41"/>
    </row>
    <row r="58" spans="8:9" ht="12.75">
      <c r="H58" s="2"/>
      <c r="I58" s="2"/>
    </row>
    <row r="60" ht="12.75">
      <c r="I60" s="2"/>
    </row>
    <row r="61" ht="12.75">
      <c r="I61" s="2"/>
    </row>
    <row r="62" ht="12.75">
      <c r="I62" s="2"/>
    </row>
    <row r="63" ht="12.75">
      <c r="I63" s="2"/>
    </row>
    <row r="64" ht="12.75">
      <c r="I64" s="2"/>
    </row>
    <row r="65" ht="12.75">
      <c r="I65" s="15"/>
    </row>
  </sheetData>
  <mergeCells count="153">
    <mergeCell ref="AD27:AE27"/>
    <mergeCell ref="AG27:AH27"/>
    <mergeCell ref="AJ27:AK27"/>
    <mergeCell ref="AD26:AE26"/>
    <mergeCell ref="AG26:AH26"/>
    <mergeCell ref="AJ26:AK26"/>
    <mergeCell ref="AJ30:AK30"/>
    <mergeCell ref="AD31:AE31"/>
    <mergeCell ref="AG31:AH31"/>
    <mergeCell ref="AJ31:AK31"/>
    <mergeCell ref="B30:C30"/>
    <mergeCell ref="E30:F30"/>
    <mergeCell ref="H30:I30"/>
    <mergeCell ref="AG30:AH30"/>
    <mergeCell ref="B31:C31"/>
    <mergeCell ref="E31:F31"/>
    <mergeCell ref="H31:I31"/>
    <mergeCell ref="M31:N31"/>
    <mergeCell ref="AG28:AH28"/>
    <mergeCell ref="AJ28:AK28"/>
    <mergeCell ref="AD29:AE29"/>
    <mergeCell ref="AG29:AH29"/>
    <mergeCell ref="AJ29:AK29"/>
    <mergeCell ref="M29:N29"/>
    <mergeCell ref="M30:N30"/>
    <mergeCell ref="AD30:AE30"/>
    <mergeCell ref="B28:C28"/>
    <mergeCell ref="E28:F28"/>
    <mergeCell ref="H28:I28"/>
    <mergeCell ref="AD28:AE28"/>
    <mergeCell ref="B29:C29"/>
    <mergeCell ref="E29:F29"/>
    <mergeCell ref="H29:I29"/>
    <mergeCell ref="M27:N27"/>
    <mergeCell ref="M28:N28"/>
    <mergeCell ref="B27:C27"/>
    <mergeCell ref="E27:F27"/>
    <mergeCell ref="H27:I27"/>
    <mergeCell ref="E25:F25"/>
    <mergeCell ref="B26:C26"/>
    <mergeCell ref="E26:F26"/>
    <mergeCell ref="H26:I26"/>
    <mergeCell ref="M26:N26"/>
    <mergeCell ref="H25:I25"/>
    <mergeCell ref="M25:N25"/>
    <mergeCell ref="AG23:AH23"/>
    <mergeCell ref="AJ23:AK23"/>
    <mergeCell ref="AJ24:AK24"/>
    <mergeCell ref="AG25:AH25"/>
    <mergeCell ref="AJ25:AK25"/>
    <mergeCell ref="E24:F24"/>
    <mergeCell ref="H24:I24"/>
    <mergeCell ref="M24:N24"/>
    <mergeCell ref="AG24:AH24"/>
    <mergeCell ref="E23:F23"/>
    <mergeCell ref="H23:I23"/>
    <mergeCell ref="M23:N23"/>
    <mergeCell ref="M22:N22"/>
    <mergeCell ref="AD22:AE22"/>
    <mergeCell ref="AG22:AH22"/>
    <mergeCell ref="AJ22:AK22"/>
    <mergeCell ref="B22:C22"/>
    <mergeCell ref="E22:F22"/>
    <mergeCell ref="H22:I22"/>
    <mergeCell ref="B20:C20"/>
    <mergeCell ref="AD20:AE20"/>
    <mergeCell ref="B21:C21"/>
    <mergeCell ref="AD21:AE21"/>
    <mergeCell ref="AJ17:AK17"/>
    <mergeCell ref="B18:C18"/>
    <mergeCell ref="AD18:AE18"/>
    <mergeCell ref="B19:C19"/>
    <mergeCell ref="AD19:AE19"/>
    <mergeCell ref="M16:N16"/>
    <mergeCell ref="M17:N17"/>
    <mergeCell ref="AD17:AE17"/>
    <mergeCell ref="AG17:AH17"/>
    <mergeCell ref="B16:C16"/>
    <mergeCell ref="E16:F16"/>
    <mergeCell ref="H16:I16"/>
    <mergeCell ref="B17:C17"/>
    <mergeCell ref="E17:F17"/>
    <mergeCell ref="H17:I17"/>
    <mergeCell ref="AD15:AE15"/>
    <mergeCell ref="AG15:AH15"/>
    <mergeCell ref="AJ15:AK15"/>
    <mergeCell ref="AD16:AE16"/>
    <mergeCell ref="AG16:AH16"/>
    <mergeCell ref="AJ16:AK16"/>
    <mergeCell ref="B15:C15"/>
    <mergeCell ref="E15:F15"/>
    <mergeCell ref="H15:I15"/>
    <mergeCell ref="M14:N14"/>
    <mergeCell ref="M15:N15"/>
    <mergeCell ref="AD14:AE14"/>
    <mergeCell ref="AG14:AH14"/>
    <mergeCell ref="AJ14:AK14"/>
    <mergeCell ref="B14:C14"/>
    <mergeCell ref="E14:F14"/>
    <mergeCell ref="H14:I14"/>
    <mergeCell ref="M13:N13"/>
    <mergeCell ref="AD13:AE13"/>
    <mergeCell ref="AG13:AH13"/>
    <mergeCell ref="AJ13:AK13"/>
    <mergeCell ref="B13:C13"/>
    <mergeCell ref="E13:F13"/>
    <mergeCell ref="H13:I13"/>
    <mergeCell ref="AJ11:AK11"/>
    <mergeCell ref="B12:C12"/>
    <mergeCell ref="E12:F12"/>
    <mergeCell ref="H12:I12"/>
    <mergeCell ref="M12:N12"/>
    <mergeCell ref="AD12:AE12"/>
    <mergeCell ref="AG12:AH12"/>
    <mergeCell ref="AJ12:AK12"/>
    <mergeCell ref="AD10:AE10"/>
    <mergeCell ref="AG10:AH10"/>
    <mergeCell ref="AJ10:AK10"/>
    <mergeCell ref="AD11:AE11"/>
    <mergeCell ref="AG11:AH11"/>
    <mergeCell ref="B11:C11"/>
    <mergeCell ref="E11:F11"/>
    <mergeCell ref="H11:I11"/>
    <mergeCell ref="M11:N11"/>
    <mergeCell ref="AD9:AE9"/>
    <mergeCell ref="AG9:AH9"/>
    <mergeCell ref="AJ9:AK9"/>
    <mergeCell ref="B10:C10"/>
    <mergeCell ref="E10:F10"/>
    <mergeCell ref="H10:I10"/>
    <mergeCell ref="M10:N10"/>
    <mergeCell ref="B9:C9"/>
    <mergeCell ref="E9:F9"/>
    <mergeCell ref="H9:I9"/>
    <mergeCell ref="M9:N9"/>
    <mergeCell ref="AG7:AH7"/>
    <mergeCell ref="AJ7:AK7"/>
    <mergeCell ref="B8:C8"/>
    <mergeCell ref="E8:F8"/>
    <mergeCell ref="H8:I8"/>
    <mergeCell ref="M8:N8"/>
    <mergeCell ref="AD8:AE8"/>
    <mergeCell ref="AG8:AH8"/>
    <mergeCell ref="E7:F7"/>
    <mergeCell ref="AJ8:AK8"/>
    <mergeCell ref="H7:I7"/>
    <mergeCell ref="A3:AB3"/>
    <mergeCell ref="H5:N5"/>
    <mergeCell ref="V5:X5"/>
    <mergeCell ref="M7:N7"/>
    <mergeCell ref="AC3:AQ3"/>
    <mergeCell ref="AG5:AK5"/>
    <mergeCell ref="AN5:AP5"/>
  </mergeCells>
  <printOptions/>
  <pageMargins left="0.31496062992125984" right="0" top="0.31496062992125984" bottom="0" header="0.5118110236220472" footer="0.5118110236220472"/>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codeName="Sheet6"/>
  <dimension ref="A1:AS65"/>
  <sheetViews>
    <sheetView view="pageBreakPreview" zoomScaleSheetLayoutView="100" workbookViewId="0" topLeftCell="AE1">
      <selection activeCell="AL1" sqref="AL1"/>
    </sheetView>
  </sheetViews>
  <sheetFormatPr defaultColWidth="11.421875" defaultRowHeight="12.75" outlineLevelRow="1" outlineLevelCol="1"/>
  <cols>
    <col min="1" max="1" width="18.00390625" style="1" customWidth="1"/>
    <col min="2" max="2" width="40.8515625" style="1" customWidth="1"/>
    <col min="3" max="3" width="5.00390625" style="1" customWidth="1"/>
    <col min="4" max="4" width="4.140625" style="1" customWidth="1"/>
    <col min="5" max="5" width="4.140625" style="1" hidden="1" customWidth="1" outlineLevel="1"/>
    <col min="6" max="6" width="10.57421875" style="1" hidden="1" customWidth="1" outlineLevel="1"/>
    <col min="7" max="7" width="2.28125" style="1" hidden="1" customWidth="1" outlineLevel="1"/>
    <col min="8" max="8" width="5.140625" style="1" customWidth="1" collapsed="1"/>
    <col min="9" max="9" width="15.8515625" style="1" customWidth="1"/>
    <col min="10" max="10" width="3.140625" style="1" customWidth="1"/>
    <col min="11" max="11" width="4.57421875" style="1" hidden="1" customWidth="1" outlineLevel="1"/>
    <col min="12" max="12" width="11.421875" style="1" hidden="1" customWidth="1" outlineLevel="1"/>
    <col min="13" max="13" width="5.140625" style="2" customWidth="1" collapsed="1"/>
    <col min="14" max="14" width="15.00390625" style="2" customWidth="1"/>
    <col min="15" max="15" width="9.7109375" style="61" customWidth="1"/>
    <col min="16" max="16" width="15.28125" style="2" hidden="1" customWidth="1" outlineLevel="1"/>
    <col min="17" max="17" width="14.8515625" style="2" hidden="1" customWidth="1" outlineLevel="1"/>
    <col min="18" max="18" width="2.7109375" style="2" customWidth="1" collapsed="1"/>
    <col min="19" max="19" width="11.140625" style="2" customWidth="1"/>
    <col min="20" max="20" width="14.8515625" style="2" hidden="1" customWidth="1" outlineLevel="1"/>
    <col min="21" max="21" width="2.00390625" style="2" hidden="1" customWidth="1" outlineLevel="1"/>
    <col min="22" max="22" width="20.28125" style="1" customWidth="1" collapsed="1"/>
    <col min="23" max="23" width="3.140625" style="1" customWidth="1"/>
    <col min="24" max="24" width="19.8515625" style="1" customWidth="1"/>
    <col min="25" max="25" width="5.28125" style="1" customWidth="1"/>
    <col min="26" max="26" width="17.00390625" style="1" hidden="1" customWidth="1" outlineLevel="1"/>
    <col min="27" max="27" width="16.28125" style="1" hidden="1" customWidth="1" outlineLevel="1"/>
    <col min="28" max="28" width="14.00390625" style="1" customWidth="1" collapsed="1"/>
    <col min="29" max="29" width="19.421875" style="1" customWidth="1"/>
    <col min="30" max="30" width="40.421875" style="51" customWidth="1"/>
    <col min="31" max="31" width="8.140625" style="51" customWidth="1"/>
    <col min="32" max="32" width="3.28125" style="51" customWidth="1"/>
    <col min="33" max="33" width="4.7109375" style="1" customWidth="1"/>
    <col min="34" max="34" width="13.8515625" style="1" customWidth="1"/>
    <col min="35" max="35" width="2.421875" style="1" customWidth="1"/>
    <col min="36" max="36" width="5.00390625" style="1" customWidth="1"/>
    <col min="37" max="37" width="14.421875" style="1" customWidth="1"/>
    <col min="38" max="39" width="11.421875" style="1" customWidth="1"/>
    <col min="40" max="40" width="22.28125" style="1" customWidth="1"/>
    <col min="41" max="41" width="3.7109375" style="1" customWidth="1"/>
    <col min="42" max="42" width="20.7109375" style="1" customWidth="1"/>
    <col min="43" max="43" width="18.140625" style="1" customWidth="1"/>
    <col min="44" max="44" width="6.140625" style="1" customWidth="1"/>
    <col min="45" max="16384" width="11.421875" style="1" customWidth="1"/>
  </cols>
  <sheetData>
    <row r="1" spans="28:45" ht="26.25" customHeight="1">
      <c r="AB1" s="196" t="s">
        <v>238</v>
      </c>
      <c r="AQ1" s="196" t="s">
        <v>237</v>
      </c>
      <c r="AR1" s="105"/>
      <c r="AS1" s="105"/>
    </row>
    <row r="2" ht="6.75" customHeight="1">
      <c r="A2" s="93"/>
    </row>
    <row r="3" spans="1:43" s="2" customFormat="1" ht="43.5" customHeight="1">
      <c r="A3" s="198" t="s">
        <v>96</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t="s">
        <v>213</v>
      </c>
      <c r="AD3" s="198"/>
      <c r="AE3" s="198"/>
      <c r="AF3" s="198"/>
      <c r="AG3" s="198"/>
      <c r="AH3" s="198"/>
      <c r="AI3" s="198"/>
      <c r="AJ3" s="198"/>
      <c r="AK3" s="198"/>
      <c r="AL3" s="199"/>
      <c r="AM3" s="199"/>
      <c r="AN3" s="199"/>
      <c r="AO3" s="199"/>
      <c r="AP3" s="199"/>
      <c r="AQ3" s="199"/>
    </row>
    <row r="4" spans="1:32" s="2" customFormat="1" ht="19.5" customHeight="1" thickBot="1">
      <c r="A4" s="93"/>
      <c r="B4" s="1"/>
      <c r="C4" s="1"/>
      <c r="D4" s="18"/>
      <c r="E4" s="18"/>
      <c r="F4" s="18"/>
      <c r="G4" s="18"/>
      <c r="H4" s="54"/>
      <c r="I4" s="54"/>
      <c r="J4" s="54"/>
      <c r="K4" s="54"/>
      <c r="L4" s="54"/>
      <c r="O4" s="61"/>
      <c r="AD4" s="86"/>
      <c r="AE4" s="86"/>
      <c r="AF4" s="18"/>
    </row>
    <row r="5" spans="2:42" s="2" customFormat="1" ht="17.25" customHeight="1" thickBot="1">
      <c r="B5" s="18"/>
      <c r="C5" s="18"/>
      <c r="D5" s="71"/>
      <c r="F5" s="75"/>
      <c r="G5" s="75"/>
      <c r="H5" s="219" t="s">
        <v>1</v>
      </c>
      <c r="I5" s="220"/>
      <c r="J5" s="220"/>
      <c r="K5" s="220"/>
      <c r="L5" s="220"/>
      <c r="M5" s="220"/>
      <c r="N5" s="221"/>
      <c r="O5" s="77"/>
      <c r="U5" s="75"/>
      <c r="V5" s="219" t="s">
        <v>2</v>
      </c>
      <c r="W5" s="220"/>
      <c r="X5" s="221"/>
      <c r="Y5" s="77"/>
      <c r="Z5" s="98"/>
      <c r="AD5" s="18"/>
      <c r="AE5" s="18"/>
      <c r="AF5" s="18"/>
      <c r="AG5" s="219" t="s">
        <v>82</v>
      </c>
      <c r="AH5" s="220"/>
      <c r="AI5" s="220"/>
      <c r="AJ5" s="220"/>
      <c r="AK5" s="221"/>
      <c r="AN5" s="219" t="s">
        <v>83</v>
      </c>
      <c r="AO5" s="220"/>
      <c r="AP5" s="221"/>
    </row>
    <row r="6" spans="16:37" ht="6.75" customHeight="1" thickBot="1">
      <c r="P6" s="27" t="s">
        <v>3</v>
      </c>
      <c r="Q6" s="27" t="s">
        <v>3</v>
      </c>
      <c r="R6" s="32"/>
      <c r="Z6" s="27" t="s">
        <v>3</v>
      </c>
      <c r="AA6" s="27" t="s">
        <v>3</v>
      </c>
      <c r="AE6" s="18"/>
      <c r="AF6" s="1"/>
      <c r="AK6" s="72"/>
    </row>
    <row r="7" spans="2:42" s="2" customFormat="1" ht="63" customHeight="1" thickBot="1">
      <c r="B7" s="67"/>
      <c r="E7" s="231" t="s">
        <v>17</v>
      </c>
      <c r="F7" s="231"/>
      <c r="G7" s="56"/>
      <c r="H7" s="230" t="s">
        <v>179</v>
      </c>
      <c r="I7" s="230"/>
      <c r="J7" s="56"/>
      <c r="K7" s="56"/>
      <c r="L7" s="56"/>
      <c r="M7" s="230" t="s">
        <v>106</v>
      </c>
      <c r="N7" s="230"/>
      <c r="O7" s="61"/>
      <c r="P7" s="42" t="s">
        <v>19</v>
      </c>
      <c r="Q7" s="42" t="s">
        <v>18</v>
      </c>
      <c r="R7" s="33"/>
      <c r="S7" s="159" t="s">
        <v>178</v>
      </c>
      <c r="T7" s="46" t="s">
        <v>17</v>
      </c>
      <c r="U7" s="57"/>
      <c r="V7" s="172" t="s">
        <v>179</v>
      </c>
      <c r="W7" s="58"/>
      <c r="X7" s="172" t="s">
        <v>106</v>
      </c>
      <c r="Y7" s="59"/>
      <c r="Z7" s="42" t="s">
        <v>19</v>
      </c>
      <c r="AA7" s="42" t="s">
        <v>18</v>
      </c>
      <c r="AD7" s="55"/>
      <c r="AE7" s="56"/>
      <c r="AF7" s="56"/>
      <c r="AG7" s="226" t="s">
        <v>197</v>
      </c>
      <c r="AH7" s="226"/>
      <c r="AI7" s="56"/>
      <c r="AJ7" s="226" t="s">
        <v>198</v>
      </c>
      <c r="AK7" s="226"/>
      <c r="AL7" s="33"/>
      <c r="AM7" s="159" t="s">
        <v>193</v>
      </c>
      <c r="AN7" s="190" t="s">
        <v>197</v>
      </c>
      <c r="AO7" s="86"/>
      <c r="AP7" s="190" t="s">
        <v>197</v>
      </c>
    </row>
    <row r="8" spans="2:42" ht="28.5" customHeight="1" thickBot="1">
      <c r="B8" s="229" t="s">
        <v>0</v>
      </c>
      <c r="C8" s="229"/>
      <c r="D8" s="14"/>
      <c r="E8" s="227">
        <f>E10+E11+E12+E13+E9</f>
        <v>4268.642930418</v>
      </c>
      <c r="F8" s="228"/>
      <c r="G8" s="14"/>
      <c r="H8" s="227">
        <f>H9+H11+H12+H13+H10</f>
        <v>4720.511020428059</v>
      </c>
      <c r="I8" s="228"/>
      <c r="M8" s="227">
        <f>M9+M11+M12+M13+M14+M15+M16</f>
        <v>5613.801789658829</v>
      </c>
      <c r="N8" s="228"/>
      <c r="O8" s="47"/>
      <c r="P8" s="38">
        <f aca="true" t="shared" si="0" ref="P8:P15">M8-H8</f>
        <v>893.2907692307699</v>
      </c>
      <c r="Q8" s="38">
        <f aca="true" t="shared" si="1" ref="Q8:Q17">M8-E8</f>
        <v>1345.1588592408289</v>
      </c>
      <c r="R8" s="34"/>
      <c r="S8" s="21">
        <v>13</v>
      </c>
      <c r="T8" s="26">
        <f aca="true" t="shared" si="2" ref="T8:T13">E8*13</f>
        <v>55492.358095434</v>
      </c>
      <c r="U8" s="57"/>
      <c r="V8" s="26">
        <f aca="true" t="shared" si="3" ref="V8:V13">H8*13</f>
        <v>61366.643265564766</v>
      </c>
      <c r="W8" s="15"/>
      <c r="X8" s="25">
        <f>(M9+M11+M12+M13+M14+M15+M16+M10)*13</f>
        <v>72979.42326556478</v>
      </c>
      <c r="Y8" s="19"/>
      <c r="Z8" s="28">
        <f aca="true" t="shared" si="4" ref="Z8:Z17">X8-V8</f>
        <v>11612.780000000013</v>
      </c>
      <c r="AA8" s="28">
        <f aca="true" t="shared" si="5" ref="AA8:AA16">X8-T8</f>
        <v>17487.06517013078</v>
      </c>
      <c r="AD8" s="229" t="s">
        <v>23</v>
      </c>
      <c r="AE8" s="229"/>
      <c r="AF8" s="14"/>
      <c r="AG8" s="227">
        <f>AG9+AG11+AG12+AG13+AG10</f>
        <v>4720.511020428059</v>
      </c>
      <c r="AH8" s="228"/>
      <c r="AJ8" s="227">
        <f>AJ9+AJ11+AJ12+AJ13+AJ14+AJ15+AJ16</f>
        <v>5613.801789658829</v>
      </c>
      <c r="AK8" s="228"/>
      <c r="AL8" s="34"/>
      <c r="AM8" s="21">
        <v>13</v>
      </c>
      <c r="AN8" s="26">
        <f aca="true" t="shared" si="6" ref="AN8:AN13">AG8*13</f>
        <v>61366.643265564766</v>
      </c>
      <c r="AO8" s="15"/>
      <c r="AP8" s="25">
        <f>(AJ9+AJ11+AJ12+AJ13+AJ14+AJ15+AJ16+AJ10)*13</f>
        <v>72979.42326556478</v>
      </c>
    </row>
    <row r="9" spans="2:42" ht="15" customHeight="1">
      <c r="B9" s="222" t="s">
        <v>61</v>
      </c>
      <c r="C9" s="223"/>
      <c r="D9" s="16"/>
      <c r="E9" s="224">
        <f>2061.06</f>
        <v>2061.06</v>
      </c>
      <c r="F9" s="225"/>
      <c r="G9" s="16"/>
      <c r="H9" s="224">
        <v>2279.24</v>
      </c>
      <c r="I9" s="225"/>
      <c r="M9" s="224">
        <v>2399.2</v>
      </c>
      <c r="N9" s="225"/>
      <c r="O9" s="101" t="s">
        <v>14</v>
      </c>
      <c r="P9" s="39">
        <f t="shared" si="0"/>
        <v>119.96000000000004</v>
      </c>
      <c r="Q9" s="39">
        <f>M9-E10</f>
        <v>2399.2</v>
      </c>
      <c r="R9" s="35"/>
      <c r="S9" s="20"/>
      <c r="T9" s="12">
        <f t="shared" si="2"/>
        <v>26793.78</v>
      </c>
      <c r="U9" s="20"/>
      <c r="V9" s="12">
        <f t="shared" si="3"/>
        <v>29630.119999999995</v>
      </c>
      <c r="W9" s="2"/>
      <c r="X9" s="12">
        <f aca="true" t="shared" si="7" ref="X9:X17">M9*13</f>
        <v>31189.6</v>
      </c>
      <c r="Y9" s="60"/>
      <c r="Z9" s="40">
        <f t="shared" si="4"/>
        <v>1559.4800000000032</v>
      </c>
      <c r="AA9" s="40">
        <f t="shared" si="5"/>
        <v>4395.82</v>
      </c>
      <c r="AD9" s="222" t="s">
        <v>80</v>
      </c>
      <c r="AE9" s="223"/>
      <c r="AF9" s="16"/>
      <c r="AG9" s="224">
        <f>H9</f>
        <v>2279.24</v>
      </c>
      <c r="AH9" s="225"/>
      <c r="AJ9" s="224">
        <f>M9</f>
        <v>2399.2</v>
      </c>
      <c r="AK9" s="225"/>
      <c r="AL9" s="102" t="s">
        <v>14</v>
      </c>
      <c r="AM9" s="20"/>
      <c r="AN9" s="12">
        <f t="shared" si="6"/>
        <v>29630.119999999995</v>
      </c>
      <c r="AO9" s="2"/>
      <c r="AP9" s="12">
        <f aca="true" t="shared" si="8" ref="AP9:AP17">AJ9*13</f>
        <v>31189.6</v>
      </c>
    </row>
    <row r="10" spans="2:42" ht="15" customHeight="1">
      <c r="B10" s="222" t="s">
        <v>100</v>
      </c>
      <c r="C10" s="223"/>
      <c r="D10" s="16"/>
      <c r="E10" s="224">
        <v>0</v>
      </c>
      <c r="F10" s="225"/>
      <c r="G10" s="16"/>
      <c r="H10" s="224">
        <f>E10*102.1%*102%*102.3%*103.8%</f>
        <v>0</v>
      </c>
      <c r="I10" s="225"/>
      <c r="M10" s="224">
        <f>H10*40/38</f>
        <v>0</v>
      </c>
      <c r="N10" s="225"/>
      <c r="O10" s="101" t="s">
        <v>14</v>
      </c>
      <c r="P10" s="39">
        <f t="shared" si="0"/>
        <v>0</v>
      </c>
      <c r="Q10" s="39">
        <f>M10-E11</f>
        <v>-766.95</v>
      </c>
      <c r="R10" s="35"/>
      <c r="S10" s="20"/>
      <c r="T10" s="12">
        <f t="shared" si="2"/>
        <v>0</v>
      </c>
      <c r="U10" s="20"/>
      <c r="V10" s="12">
        <f t="shared" si="3"/>
        <v>0</v>
      </c>
      <c r="W10" s="2"/>
      <c r="X10" s="12">
        <f t="shared" si="7"/>
        <v>0</v>
      </c>
      <c r="Y10" s="60"/>
      <c r="Z10" s="94"/>
      <c r="AA10" s="94"/>
      <c r="AD10" s="222" t="s">
        <v>101</v>
      </c>
      <c r="AE10" s="223"/>
      <c r="AF10" s="16"/>
      <c r="AG10" s="224">
        <f>H10</f>
        <v>0</v>
      </c>
      <c r="AH10" s="225"/>
      <c r="AJ10" s="224">
        <f aca="true" t="shared" si="9" ref="AJ10:AJ16">M10</f>
        <v>0</v>
      </c>
      <c r="AK10" s="225"/>
      <c r="AL10" s="102" t="s">
        <v>14</v>
      </c>
      <c r="AM10" s="20"/>
      <c r="AN10" s="12">
        <f t="shared" si="6"/>
        <v>0</v>
      </c>
      <c r="AO10" s="2"/>
      <c r="AP10" s="12">
        <f t="shared" si="8"/>
        <v>0</v>
      </c>
    </row>
    <row r="11" spans="2:42" ht="15" customHeight="1">
      <c r="B11" s="222" t="s">
        <v>97</v>
      </c>
      <c r="C11" s="223"/>
      <c r="D11" s="16"/>
      <c r="E11" s="224">
        <v>766.95</v>
      </c>
      <c r="F11" s="225"/>
      <c r="G11" s="16"/>
      <c r="H11" s="224">
        <f>E11*102.1%*102%*102.3%*103.8%</f>
        <v>848.1368889273059</v>
      </c>
      <c r="I11" s="225"/>
      <c r="M11" s="224">
        <f>H11</f>
        <v>848.1368889273059</v>
      </c>
      <c r="N11" s="225"/>
      <c r="O11" s="49"/>
      <c r="P11" s="39">
        <f t="shared" si="0"/>
        <v>0</v>
      </c>
      <c r="Q11" s="39">
        <f t="shared" si="1"/>
        <v>81.18688892730586</v>
      </c>
      <c r="R11" s="35"/>
      <c r="S11" s="20"/>
      <c r="T11" s="12">
        <f t="shared" si="2"/>
        <v>9970.35</v>
      </c>
      <c r="U11" s="20"/>
      <c r="V11" s="12">
        <f t="shared" si="3"/>
        <v>11025.779556054977</v>
      </c>
      <c r="W11" s="2"/>
      <c r="X11" s="12">
        <f t="shared" si="7"/>
        <v>11025.779556054977</v>
      </c>
      <c r="Y11" s="60"/>
      <c r="Z11" s="8">
        <f>X11-V11</f>
        <v>0</v>
      </c>
      <c r="AA11" s="8">
        <f t="shared" si="5"/>
        <v>1055.4295560549763</v>
      </c>
      <c r="AD11" s="222" t="s">
        <v>24</v>
      </c>
      <c r="AE11" s="223"/>
      <c r="AF11" s="16"/>
      <c r="AG11" s="224">
        <f>H11</f>
        <v>848.1368889273059</v>
      </c>
      <c r="AH11" s="225"/>
      <c r="AJ11" s="224">
        <f t="shared" si="9"/>
        <v>848.1368889273059</v>
      </c>
      <c r="AK11" s="225"/>
      <c r="AL11" s="35"/>
      <c r="AM11" s="20"/>
      <c r="AN11" s="12">
        <f t="shared" si="6"/>
        <v>11025.779556054977</v>
      </c>
      <c r="AO11" s="2"/>
      <c r="AP11" s="12">
        <f t="shared" si="8"/>
        <v>11025.779556054977</v>
      </c>
    </row>
    <row r="12" spans="2:42" ht="15" customHeight="1">
      <c r="B12" s="222" t="s">
        <v>98</v>
      </c>
      <c r="C12" s="223"/>
      <c r="D12" s="16"/>
      <c r="E12" s="224">
        <f>4089.39/12*101.2%*102%*101.7%</f>
        <v>357.7494063726</v>
      </c>
      <c r="F12" s="225"/>
      <c r="G12" s="16"/>
      <c r="H12" s="224">
        <f>4747.44/12</f>
        <v>395.61999999999995</v>
      </c>
      <c r="I12" s="225"/>
      <c r="M12" s="224">
        <f>H12</f>
        <v>395.61999999999995</v>
      </c>
      <c r="N12" s="225"/>
      <c r="O12" s="48"/>
      <c r="P12" s="39">
        <f t="shared" si="0"/>
        <v>0</v>
      </c>
      <c r="Q12" s="39">
        <f t="shared" si="1"/>
        <v>37.870593627399955</v>
      </c>
      <c r="R12" s="35"/>
      <c r="S12" s="20"/>
      <c r="T12" s="12">
        <f t="shared" si="2"/>
        <v>4650.7422828438</v>
      </c>
      <c r="U12" s="20"/>
      <c r="V12" s="12">
        <f t="shared" si="3"/>
        <v>5143.0599999999995</v>
      </c>
      <c r="W12" s="2"/>
      <c r="X12" s="12">
        <f t="shared" si="7"/>
        <v>5143.0599999999995</v>
      </c>
      <c r="Y12" s="60"/>
      <c r="Z12" s="8">
        <f t="shared" si="4"/>
        <v>0</v>
      </c>
      <c r="AA12" s="8">
        <f t="shared" si="5"/>
        <v>492.31771715619925</v>
      </c>
      <c r="AD12" s="222" t="s">
        <v>25</v>
      </c>
      <c r="AE12" s="223"/>
      <c r="AF12" s="16"/>
      <c r="AG12" s="224">
        <f>H12</f>
        <v>395.61999999999995</v>
      </c>
      <c r="AH12" s="225"/>
      <c r="AJ12" s="224">
        <f t="shared" si="9"/>
        <v>395.61999999999995</v>
      </c>
      <c r="AK12" s="225"/>
      <c r="AL12" s="35"/>
      <c r="AM12" s="20"/>
      <c r="AN12" s="12">
        <f t="shared" si="6"/>
        <v>5143.0599999999995</v>
      </c>
      <c r="AO12" s="2"/>
      <c r="AP12" s="12">
        <f t="shared" si="8"/>
        <v>5143.0599999999995</v>
      </c>
    </row>
    <row r="13" spans="2:42" ht="15" customHeight="1">
      <c r="B13" s="222" t="s">
        <v>21</v>
      </c>
      <c r="C13" s="223"/>
      <c r="D13" s="16"/>
      <c r="E13" s="224">
        <f>12378.31/12*101.2%*102%*101.7%</f>
        <v>1082.8835240454002</v>
      </c>
      <c r="F13" s="225"/>
      <c r="G13" s="16"/>
      <c r="H13" s="224">
        <f>E13*102.1%*102%*102.3%*103.8%</f>
        <v>1197.514131500754</v>
      </c>
      <c r="I13" s="225"/>
      <c r="M13" s="224">
        <f>H13</f>
        <v>1197.514131500754</v>
      </c>
      <c r="N13" s="225"/>
      <c r="O13" s="49"/>
      <c r="P13" s="39">
        <f t="shared" si="0"/>
        <v>0</v>
      </c>
      <c r="Q13" s="39">
        <f t="shared" si="1"/>
        <v>114.63060745535381</v>
      </c>
      <c r="R13" s="35"/>
      <c r="S13" s="20"/>
      <c r="T13" s="12">
        <f t="shared" si="2"/>
        <v>14077.485812590203</v>
      </c>
      <c r="U13" s="20"/>
      <c r="V13" s="12">
        <f t="shared" si="3"/>
        <v>15567.683709509802</v>
      </c>
      <c r="W13" s="2"/>
      <c r="X13" s="12">
        <f t="shared" si="7"/>
        <v>15567.683709509802</v>
      </c>
      <c r="Y13" s="60"/>
      <c r="Z13" s="8">
        <f t="shared" si="4"/>
        <v>0</v>
      </c>
      <c r="AA13" s="8">
        <f t="shared" si="5"/>
        <v>1490.1978969195989</v>
      </c>
      <c r="AD13" s="222" t="s">
        <v>26</v>
      </c>
      <c r="AE13" s="223"/>
      <c r="AF13" s="16"/>
      <c r="AG13" s="224">
        <f>H13</f>
        <v>1197.514131500754</v>
      </c>
      <c r="AH13" s="225"/>
      <c r="AJ13" s="224">
        <f t="shared" si="9"/>
        <v>1197.514131500754</v>
      </c>
      <c r="AK13" s="225"/>
      <c r="AL13" s="35"/>
      <c r="AM13" s="20"/>
      <c r="AN13" s="12">
        <f t="shared" si="6"/>
        <v>15567.683709509802</v>
      </c>
      <c r="AO13" s="2"/>
      <c r="AP13" s="12">
        <f t="shared" si="8"/>
        <v>15567.683709509802</v>
      </c>
    </row>
    <row r="14" spans="1:42" ht="15" customHeight="1">
      <c r="A14" s="88" t="s">
        <v>121</v>
      </c>
      <c r="B14" s="222" t="s">
        <v>85</v>
      </c>
      <c r="C14" s="223"/>
      <c r="D14" s="16"/>
      <c r="E14" s="214"/>
      <c r="F14" s="215"/>
      <c r="G14" s="16"/>
      <c r="H14" s="214"/>
      <c r="I14" s="215"/>
      <c r="M14" s="204">
        <v>600</v>
      </c>
      <c r="N14" s="204"/>
      <c r="O14" s="73"/>
      <c r="P14" s="39">
        <f t="shared" si="0"/>
        <v>600</v>
      </c>
      <c r="Q14" s="39">
        <f t="shared" si="1"/>
        <v>600</v>
      </c>
      <c r="R14" s="35"/>
      <c r="S14" s="20"/>
      <c r="T14" s="12"/>
      <c r="U14" s="20"/>
      <c r="V14" s="31"/>
      <c r="W14" s="2"/>
      <c r="X14" s="12">
        <f t="shared" si="7"/>
        <v>7800</v>
      </c>
      <c r="Y14" s="60"/>
      <c r="Z14" s="8">
        <f>X14-V14</f>
        <v>7800</v>
      </c>
      <c r="AA14" s="8">
        <f t="shared" si="5"/>
        <v>7800</v>
      </c>
      <c r="AC14" s="88" t="s">
        <v>123</v>
      </c>
      <c r="AD14" s="222" t="s">
        <v>27</v>
      </c>
      <c r="AE14" s="223"/>
      <c r="AF14" s="16"/>
      <c r="AG14" s="214"/>
      <c r="AH14" s="215"/>
      <c r="AJ14" s="224">
        <f t="shared" si="9"/>
        <v>600</v>
      </c>
      <c r="AK14" s="225"/>
      <c r="AL14" s="35"/>
      <c r="AM14" s="20"/>
      <c r="AN14" s="31"/>
      <c r="AO14" s="2"/>
      <c r="AP14" s="12">
        <f t="shared" si="8"/>
        <v>7800</v>
      </c>
    </row>
    <row r="15" spans="1:42" ht="15" customHeight="1">
      <c r="A15" s="88" t="s">
        <v>116</v>
      </c>
      <c r="B15" s="222" t="s">
        <v>41</v>
      </c>
      <c r="C15" s="223"/>
      <c r="D15" s="16"/>
      <c r="E15" s="214"/>
      <c r="F15" s="215"/>
      <c r="G15" s="16"/>
      <c r="H15" s="214"/>
      <c r="I15" s="215"/>
      <c r="M15" s="224">
        <f>(2253.3)/13</f>
        <v>173.33076923076925</v>
      </c>
      <c r="N15" s="225"/>
      <c r="O15" s="73"/>
      <c r="P15" s="39">
        <f t="shared" si="0"/>
        <v>173.33076923076925</v>
      </c>
      <c r="Q15" s="39">
        <f t="shared" si="1"/>
        <v>173.33076923076925</v>
      </c>
      <c r="R15" s="35"/>
      <c r="S15" s="20"/>
      <c r="T15" s="12"/>
      <c r="U15" s="20"/>
      <c r="V15" s="31"/>
      <c r="W15" s="2"/>
      <c r="X15" s="12">
        <f t="shared" si="7"/>
        <v>2253.3</v>
      </c>
      <c r="Y15" s="60"/>
      <c r="Z15" s="8">
        <f>X15-V15</f>
        <v>2253.3</v>
      </c>
      <c r="AA15" s="97">
        <f t="shared" si="5"/>
        <v>2253.3</v>
      </c>
      <c r="AC15" s="88" t="s">
        <v>117</v>
      </c>
      <c r="AD15" s="222" t="s">
        <v>44</v>
      </c>
      <c r="AE15" s="223"/>
      <c r="AF15" s="16"/>
      <c r="AG15" s="214"/>
      <c r="AH15" s="215"/>
      <c r="AJ15" s="224">
        <f t="shared" si="9"/>
        <v>173.33076923076925</v>
      </c>
      <c r="AK15" s="225"/>
      <c r="AL15" s="35"/>
      <c r="AM15" s="20"/>
      <c r="AN15" s="31"/>
      <c r="AO15" s="2"/>
      <c r="AP15" s="12">
        <f t="shared" si="8"/>
        <v>2253.3</v>
      </c>
    </row>
    <row r="16" spans="1:42" ht="15" customHeight="1" thickBot="1">
      <c r="A16" s="88" t="s">
        <v>122</v>
      </c>
      <c r="B16" s="222" t="s">
        <v>109</v>
      </c>
      <c r="C16" s="223"/>
      <c r="D16" s="16"/>
      <c r="E16" s="214"/>
      <c r="F16" s="215"/>
      <c r="G16" s="16"/>
      <c r="H16" s="214"/>
      <c r="I16" s="215"/>
      <c r="K16" s="41" t="s">
        <v>20</v>
      </c>
      <c r="L16" s="1">
        <f>((H24+H28+H30)-((P15/2)+P9+P10+P11+P12+P13+P14))-((((P15/2)+P9+P10+P11+P12+P14)/13)+(((H24+H28+H30)-((P15/2)+P9+P10+P11+P12+P14))/13))</f>
        <v>-806.6253846153846</v>
      </c>
      <c r="M16" s="224">
        <f>IF(L16&gt;0,L16,0)</f>
        <v>0</v>
      </c>
      <c r="N16" s="225"/>
      <c r="O16" s="73"/>
      <c r="P16" s="39">
        <f>M16</f>
        <v>0</v>
      </c>
      <c r="Q16" s="20"/>
      <c r="R16" s="35"/>
      <c r="S16" s="20"/>
      <c r="T16" s="12"/>
      <c r="U16" s="20"/>
      <c r="V16" s="31"/>
      <c r="W16" s="2"/>
      <c r="X16" s="12">
        <f t="shared" si="7"/>
        <v>0</v>
      </c>
      <c r="Y16" s="60"/>
      <c r="Z16" s="8">
        <f>X16-V16</f>
        <v>0</v>
      </c>
      <c r="AA16" s="43">
        <f t="shared" si="5"/>
        <v>0</v>
      </c>
      <c r="AC16" s="88" t="s">
        <v>124</v>
      </c>
      <c r="AD16" s="222" t="s">
        <v>84</v>
      </c>
      <c r="AE16" s="223"/>
      <c r="AF16" s="16"/>
      <c r="AG16" s="214"/>
      <c r="AH16" s="215"/>
      <c r="AJ16" s="224">
        <f t="shared" si="9"/>
        <v>0</v>
      </c>
      <c r="AK16" s="225"/>
      <c r="AL16" s="35"/>
      <c r="AM16" s="20"/>
      <c r="AN16" s="31"/>
      <c r="AO16" s="2"/>
      <c r="AP16" s="12">
        <f t="shared" si="8"/>
        <v>0</v>
      </c>
    </row>
    <row r="17" spans="2:42" ht="28.5" customHeight="1" thickBot="1">
      <c r="B17" s="209" t="s">
        <v>4</v>
      </c>
      <c r="C17" s="210"/>
      <c r="D17" s="14"/>
      <c r="E17" s="227">
        <f>F18</f>
        <v>0</v>
      </c>
      <c r="F17" s="228"/>
      <c r="G17" s="14"/>
      <c r="H17" s="227">
        <f>I18</f>
        <v>0</v>
      </c>
      <c r="I17" s="228"/>
      <c r="K17" s="3"/>
      <c r="L17" s="6"/>
      <c r="M17" s="227">
        <f>N18</f>
        <v>0</v>
      </c>
      <c r="N17" s="228"/>
      <c r="O17" s="50"/>
      <c r="P17" s="28">
        <f>M17-H17</f>
        <v>0</v>
      </c>
      <c r="Q17" s="28">
        <f t="shared" si="1"/>
        <v>0</v>
      </c>
      <c r="R17" s="34"/>
      <c r="S17" s="21">
        <v>13</v>
      </c>
      <c r="T17" s="26">
        <f>E17*13</f>
        <v>0</v>
      </c>
      <c r="U17" s="21"/>
      <c r="V17" s="26">
        <f>H17*13</f>
        <v>0</v>
      </c>
      <c r="W17" s="15"/>
      <c r="X17" s="26">
        <f t="shared" si="7"/>
        <v>0</v>
      </c>
      <c r="Y17" s="19"/>
      <c r="Z17" s="28">
        <f t="shared" si="4"/>
        <v>0</v>
      </c>
      <c r="AA17" s="28">
        <v>0</v>
      </c>
      <c r="AD17" s="209" t="s">
        <v>29</v>
      </c>
      <c r="AE17" s="210"/>
      <c r="AF17" s="14"/>
      <c r="AG17" s="227">
        <f>AH18</f>
        <v>0</v>
      </c>
      <c r="AH17" s="228"/>
      <c r="AJ17" s="227">
        <f>AK18</f>
        <v>0</v>
      </c>
      <c r="AK17" s="228"/>
      <c r="AL17" s="34"/>
      <c r="AM17" s="21">
        <v>13</v>
      </c>
      <c r="AN17" s="26">
        <f>AG17*13</f>
        <v>0</v>
      </c>
      <c r="AO17" s="15"/>
      <c r="AP17" s="26">
        <f t="shared" si="8"/>
        <v>0</v>
      </c>
    </row>
    <row r="18" spans="2:42" ht="15" customHeight="1">
      <c r="B18" s="222" t="s">
        <v>5</v>
      </c>
      <c r="C18" s="223"/>
      <c r="D18" s="16"/>
      <c r="E18" s="9"/>
      <c r="F18" s="5"/>
      <c r="G18" s="16"/>
      <c r="H18" s="9"/>
      <c r="I18" s="5"/>
      <c r="M18" s="9"/>
      <c r="N18" s="5"/>
      <c r="O18" s="65"/>
      <c r="P18" s="10"/>
      <c r="Q18" s="10"/>
      <c r="R18" s="36"/>
      <c r="T18" s="12"/>
      <c r="V18" s="12"/>
      <c r="W18" s="2"/>
      <c r="X18" s="12"/>
      <c r="Y18" s="60"/>
      <c r="Z18" s="10"/>
      <c r="AA18" s="10"/>
      <c r="AD18" s="222" t="s">
        <v>30</v>
      </c>
      <c r="AE18" s="223"/>
      <c r="AF18" s="16"/>
      <c r="AG18" s="9"/>
      <c r="AH18" s="5"/>
      <c r="AJ18" s="9"/>
      <c r="AK18" s="5"/>
      <c r="AL18" s="36"/>
      <c r="AM18" s="2"/>
      <c r="AN18" s="12"/>
      <c r="AO18" s="2"/>
      <c r="AP18" s="12"/>
    </row>
    <row r="19" spans="2:42" ht="15" customHeight="1">
      <c r="B19" s="222" t="s">
        <v>92</v>
      </c>
      <c r="C19" s="223"/>
      <c r="D19" s="16"/>
      <c r="E19" s="4"/>
      <c r="F19" s="5"/>
      <c r="G19" s="16"/>
      <c r="H19" s="4"/>
      <c r="I19" s="5"/>
      <c r="M19" s="4"/>
      <c r="N19" s="5"/>
      <c r="P19" s="10"/>
      <c r="Q19" s="10"/>
      <c r="R19" s="36"/>
      <c r="S19" s="62"/>
      <c r="T19" s="12"/>
      <c r="U19" s="62"/>
      <c r="V19" s="12"/>
      <c r="W19" s="2"/>
      <c r="X19" s="12"/>
      <c r="Y19" s="60"/>
      <c r="Z19" s="10"/>
      <c r="AA19" s="10"/>
      <c r="AD19" s="222" t="s">
        <v>91</v>
      </c>
      <c r="AE19" s="223"/>
      <c r="AF19" s="16"/>
      <c r="AG19" s="4"/>
      <c r="AH19" s="5"/>
      <c r="AJ19" s="4"/>
      <c r="AK19" s="5"/>
      <c r="AL19" s="36"/>
      <c r="AM19" s="62"/>
      <c r="AN19" s="12"/>
      <c r="AO19" s="2"/>
      <c r="AP19" s="12"/>
    </row>
    <row r="20" spans="2:42" ht="15" customHeight="1" thickBot="1">
      <c r="B20" s="222" t="s">
        <v>6</v>
      </c>
      <c r="C20" s="223"/>
      <c r="D20" s="16"/>
      <c r="E20" s="4"/>
      <c r="F20" s="5"/>
      <c r="G20" s="16"/>
      <c r="H20" s="4"/>
      <c r="I20" s="5"/>
      <c r="M20" s="4"/>
      <c r="N20" s="5"/>
      <c r="O20" s="70"/>
      <c r="P20" s="10"/>
      <c r="Q20" s="10"/>
      <c r="R20" s="36"/>
      <c r="T20" s="12"/>
      <c r="V20" s="12"/>
      <c r="W20" s="2"/>
      <c r="X20" s="12"/>
      <c r="Y20" s="60"/>
      <c r="Z20" s="10"/>
      <c r="AA20" s="10"/>
      <c r="AD20" s="222" t="s">
        <v>31</v>
      </c>
      <c r="AE20" s="223"/>
      <c r="AF20" s="16"/>
      <c r="AG20" s="4"/>
      <c r="AH20" s="5"/>
      <c r="AJ20" s="4"/>
      <c r="AK20" s="5"/>
      <c r="AL20" s="36"/>
      <c r="AM20" s="2"/>
      <c r="AN20" s="12"/>
      <c r="AO20" s="2"/>
      <c r="AP20" s="12"/>
    </row>
    <row r="21" spans="2:42" ht="15" customHeight="1" hidden="1" outlineLevel="1" thickBot="1">
      <c r="B21" s="222" t="s">
        <v>66</v>
      </c>
      <c r="C21" s="223"/>
      <c r="D21" s="16"/>
      <c r="E21" s="5"/>
      <c r="F21" s="5"/>
      <c r="G21" s="16"/>
      <c r="H21" s="5"/>
      <c r="I21" s="5"/>
      <c r="M21" s="5"/>
      <c r="N21" s="5"/>
      <c r="P21" s="10"/>
      <c r="Q21" s="10"/>
      <c r="R21" s="36"/>
      <c r="T21" s="12"/>
      <c r="V21" s="12"/>
      <c r="W21" s="2"/>
      <c r="X21" s="12"/>
      <c r="Y21" s="60"/>
      <c r="Z21" s="10"/>
      <c r="AA21" s="10"/>
      <c r="AD21" s="222" t="s">
        <v>32</v>
      </c>
      <c r="AE21" s="223"/>
      <c r="AF21" s="16"/>
      <c r="AG21" s="5"/>
      <c r="AH21" s="5"/>
      <c r="AJ21" s="5"/>
      <c r="AK21" s="5"/>
      <c r="AL21" s="36"/>
      <c r="AM21" s="2"/>
      <c r="AN21" s="12"/>
      <c r="AO21" s="2"/>
      <c r="AP21" s="12"/>
    </row>
    <row r="22" spans="2:42" ht="28.5" customHeight="1" collapsed="1" thickBot="1">
      <c r="B22" s="209" t="s">
        <v>7</v>
      </c>
      <c r="C22" s="210"/>
      <c r="D22" s="14"/>
      <c r="E22" s="227">
        <f>E24</f>
        <v>0</v>
      </c>
      <c r="F22" s="228"/>
      <c r="G22" s="14"/>
      <c r="H22" s="227">
        <f>H24</f>
        <v>0</v>
      </c>
      <c r="I22" s="228"/>
      <c r="J22" s="3"/>
      <c r="K22" s="3"/>
      <c r="L22" s="3"/>
      <c r="M22" s="227">
        <f>M23</f>
        <v>0</v>
      </c>
      <c r="N22" s="228"/>
      <c r="P22" s="28">
        <f>M22-H22</f>
        <v>0</v>
      </c>
      <c r="Q22" s="28">
        <f>M22-E22</f>
        <v>0</v>
      </c>
      <c r="R22" s="34"/>
      <c r="S22" s="21">
        <v>12</v>
      </c>
      <c r="T22" s="26">
        <f>E22*12</f>
        <v>0</v>
      </c>
      <c r="U22" s="21"/>
      <c r="V22" s="26">
        <f>H22*12</f>
        <v>0</v>
      </c>
      <c r="W22" s="15"/>
      <c r="X22" s="25">
        <f>M22*12</f>
        <v>0</v>
      </c>
      <c r="Y22" s="22"/>
      <c r="Z22" s="28">
        <f>X22-V22</f>
        <v>0</v>
      </c>
      <c r="AA22" s="28">
        <f>X22-T22</f>
        <v>0</v>
      </c>
      <c r="AD22" s="209" t="s">
        <v>33</v>
      </c>
      <c r="AE22" s="210"/>
      <c r="AF22" s="14"/>
      <c r="AG22" s="227">
        <f>AG24</f>
        <v>0</v>
      </c>
      <c r="AH22" s="228"/>
      <c r="AI22" s="3"/>
      <c r="AJ22" s="227">
        <f>AJ23</f>
        <v>0</v>
      </c>
      <c r="AK22" s="228"/>
      <c r="AL22" s="34"/>
      <c r="AM22" s="21">
        <v>12</v>
      </c>
      <c r="AN22" s="26">
        <f>AG22*12</f>
        <v>0</v>
      </c>
      <c r="AO22" s="15"/>
      <c r="AP22" s="25">
        <f>AJ22*12</f>
        <v>0</v>
      </c>
    </row>
    <row r="23" spans="2:42" ht="15" customHeight="1">
      <c r="B23" s="17" t="s">
        <v>90</v>
      </c>
      <c r="C23" s="7">
        <v>0</v>
      </c>
      <c r="D23" s="16"/>
      <c r="E23" s="224">
        <v>0</v>
      </c>
      <c r="F23" s="225"/>
      <c r="G23" s="16"/>
      <c r="H23" s="224">
        <v>0</v>
      </c>
      <c r="I23" s="225"/>
      <c r="M23" s="224">
        <v>0</v>
      </c>
      <c r="N23" s="225"/>
      <c r="R23" s="63"/>
      <c r="T23" s="12">
        <v>0</v>
      </c>
      <c r="V23" s="12">
        <v>0</v>
      </c>
      <c r="W23" s="2"/>
      <c r="X23" s="12">
        <v>0</v>
      </c>
      <c r="Y23" s="22"/>
      <c r="Z23" s="2"/>
      <c r="AA23" s="2"/>
      <c r="AD23" s="17" t="s">
        <v>89</v>
      </c>
      <c r="AE23" s="7">
        <v>0</v>
      </c>
      <c r="AF23" s="16"/>
      <c r="AG23" s="224">
        <f>H23</f>
        <v>0</v>
      </c>
      <c r="AH23" s="225"/>
      <c r="AJ23" s="224">
        <v>0</v>
      </c>
      <c r="AK23" s="225"/>
      <c r="AL23" s="63"/>
      <c r="AM23" s="2"/>
      <c r="AN23" s="12">
        <v>0</v>
      </c>
      <c r="AO23" s="2"/>
      <c r="AP23" s="12">
        <v>0</v>
      </c>
    </row>
    <row r="24" spans="2:42" ht="15" customHeight="1">
      <c r="B24" s="17" t="s">
        <v>45</v>
      </c>
      <c r="C24" s="11">
        <v>0</v>
      </c>
      <c r="D24" s="16"/>
      <c r="E24" s="224">
        <f>109*C24*4.345</f>
        <v>0</v>
      </c>
      <c r="F24" s="225"/>
      <c r="G24" s="16"/>
      <c r="H24" s="224">
        <f>109*C24*4.345</f>
        <v>0</v>
      </c>
      <c r="I24" s="225"/>
      <c r="M24" s="214"/>
      <c r="N24" s="215"/>
      <c r="R24" s="63"/>
      <c r="T24" s="12">
        <f>E24*12</f>
        <v>0</v>
      </c>
      <c r="V24" s="12">
        <f>H24*12</f>
        <v>0</v>
      </c>
      <c r="W24" s="2"/>
      <c r="X24" s="31"/>
      <c r="Y24" s="64"/>
      <c r="Z24" s="2"/>
      <c r="AA24" s="2"/>
      <c r="AD24" s="17" t="s">
        <v>46</v>
      </c>
      <c r="AE24" s="11">
        <f>C24</f>
        <v>0</v>
      </c>
      <c r="AF24" s="16"/>
      <c r="AG24" s="224">
        <f>H24</f>
        <v>0</v>
      </c>
      <c r="AH24" s="225"/>
      <c r="AJ24" s="214"/>
      <c r="AK24" s="215"/>
      <c r="AL24" s="63"/>
      <c r="AM24" s="2"/>
      <c r="AN24" s="12">
        <f>AG24*12</f>
        <v>0</v>
      </c>
      <c r="AO24" s="2"/>
      <c r="AP24" s="31"/>
    </row>
    <row r="25" spans="2:42" ht="15" customHeight="1" thickBot="1">
      <c r="B25" s="17" t="s">
        <v>99</v>
      </c>
      <c r="C25" s="7"/>
      <c r="D25" s="16"/>
      <c r="E25" s="214"/>
      <c r="F25" s="215"/>
      <c r="G25" s="16"/>
      <c r="H25" s="214"/>
      <c r="I25" s="215"/>
      <c r="M25" s="214"/>
      <c r="N25" s="215"/>
      <c r="O25" s="44"/>
      <c r="P25" s="23"/>
      <c r="Q25" s="23"/>
      <c r="R25" s="24"/>
      <c r="S25" s="24"/>
      <c r="T25" s="31"/>
      <c r="U25" s="24"/>
      <c r="V25" s="31"/>
      <c r="W25" s="2"/>
      <c r="X25" s="31"/>
      <c r="Y25" s="22"/>
      <c r="Z25" s="23"/>
      <c r="AA25" s="23"/>
      <c r="AD25" s="17" t="s">
        <v>34</v>
      </c>
      <c r="AE25" s="7"/>
      <c r="AF25" s="16"/>
      <c r="AG25" s="214"/>
      <c r="AH25" s="215"/>
      <c r="AJ25" s="214"/>
      <c r="AK25" s="215"/>
      <c r="AL25" s="24"/>
      <c r="AM25" s="24"/>
      <c r="AN25" s="31"/>
      <c r="AO25" s="2"/>
      <c r="AP25" s="31"/>
    </row>
    <row r="26" spans="2:42" ht="23.25" customHeight="1" hidden="1" outlineLevel="1">
      <c r="B26" s="209" t="s">
        <v>16</v>
      </c>
      <c r="C26" s="210"/>
      <c r="D26" s="16"/>
      <c r="E26" s="205">
        <f>E28+E30</f>
        <v>0</v>
      </c>
      <c r="F26" s="206"/>
      <c r="G26" s="16"/>
      <c r="H26" s="205">
        <f>H28+H30</f>
        <v>0</v>
      </c>
      <c r="I26" s="206"/>
      <c r="M26" s="205"/>
      <c r="N26" s="206"/>
      <c r="R26" s="63"/>
      <c r="S26" s="21">
        <v>12</v>
      </c>
      <c r="T26" s="26">
        <f>E26*12</f>
        <v>0</v>
      </c>
      <c r="U26" s="21"/>
      <c r="V26" s="26">
        <f>V28</f>
        <v>0</v>
      </c>
      <c r="W26" s="15"/>
      <c r="X26" s="26"/>
      <c r="Y26" s="19"/>
      <c r="Z26" s="2"/>
      <c r="AA26" s="2"/>
      <c r="AD26" s="209" t="s">
        <v>35</v>
      </c>
      <c r="AE26" s="210"/>
      <c r="AF26" s="16"/>
      <c r="AG26" s="205">
        <f>AG28+AG30</f>
        <v>0</v>
      </c>
      <c r="AH26" s="206"/>
      <c r="AJ26" s="205"/>
      <c r="AK26" s="206"/>
      <c r="AL26" s="63"/>
      <c r="AM26" s="21">
        <v>12</v>
      </c>
      <c r="AN26" s="26">
        <f>AN28</f>
        <v>0</v>
      </c>
      <c r="AO26" s="15"/>
      <c r="AP26" s="26"/>
    </row>
    <row r="27" spans="2:42" ht="15" customHeight="1" hidden="1" outlineLevel="1">
      <c r="B27" s="222" t="s">
        <v>10</v>
      </c>
      <c r="C27" s="223"/>
      <c r="D27" s="18"/>
      <c r="E27" s="214"/>
      <c r="F27" s="215"/>
      <c r="G27" s="18"/>
      <c r="H27" s="214"/>
      <c r="I27" s="215"/>
      <c r="M27" s="214"/>
      <c r="N27" s="215"/>
      <c r="R27" s="63"/>
      <c r="S27" s="21"/>
      <c r="T27" s="31"/>
      <c r="U27" s="21"/>
      <c r="V27" s="31"/>
      <c r="W27" s="2"/>
      <c r="X27" s="31"/>
      <c r="Y27" s="68"/>
      <c r="Z27" s="2"/>
      <c r="AA27" s="2"/>
      <c r="AD27" s="222" t="s">
        <v>40</v>
      </c>
      <c r="AE27" s="223"/>
      <c r="AF27" s="16"/>
      <c r="AG27" s="214"/>
      <c r="AH27" s="215"/>
      <c r="AJ27" s="214"/>
      <c r="AK27" s="215"/>
      <c r="AL27" s="63"/>
      <c r="AM27" s="21"/>
      <c r="AN27" s="31"/>
      <c r="AO27" s="2"/>
      <c r="AP27" s="31"/>
    </row>
    <row r="28" spans="2:42" ht="15" customHeight="1" hidden="1" outlineLevel="1">
      <c r="B28" s="222" t="s">
        <v>11</v>
      </c>
      <c r="C28" s="223"/>
      <c r="D28" s="18"/>
      <c r="E28" s="204"/>
      <c r="F28" s="204"/>
      <c r="G28" s="18"/>
      <c r="H28" s="214"/>
      <c r="I28" s="215"/>
      <c r="M28" s="214"/>
      <c r="N28" s="215"/>
      <c r="R28" s="63"/>
      <c r="T28" s="12">
        <f>E28*12</f>
        <v>0</v>
      </c>
      <c r="V28" s="31"/>
      <c r="W28" s="2"/>
      <c r="X28" s="31"/>
      <c r="Y28" s="68"/>
      <c r="Z28" s="2"/>
      <c r="AA28" s="2"/>
      <c r="AD28" s="222" t="s">
        <v>36</v>
      </c>
      <c r="AE28" s="223"/>
      <c r="AF28" s="16"/>
      <c r="AG28" s="214"/>
      <c r="AH28" s="215"/>
      <c r="AJ28" s="214"/>
      <c r="AK28" s="215"/>
      <c r="AL28" s="63"/>
      <c r="AM28" s="2"/>
      <c r="AN28" s="31"/>
      <c r="AO28" s="2"/>
      <c r="AP28" s="31"/>
    </row>
    <row r="29" spans="2:42" ht="15" customHeight="1" hidden="1" outlineLevel="1">
      <c r="B29" s="222" t="s">
        <v>12</v>
      </c>
      <c r="C29" s="223"/>
      <c r="D29" s="18"/>
      <c r="E29" s="214"/>
      <c r="F29" s="215"/>
      <c r="G29" s="18"/>
      <c r="H29" s="214"/>
      <c r="I29" s="215"/>
      <c r="M29" s="214"/>
      <c r="N29" s="215"/>
      <c r="R29" s="63"/>
      <c r="T29" s="31"/>
      <c r="V29" s="31"/>
      <c r="W29" s="2"/>
      <c r="X29" s="31"/>
      <c r="Y29" s="68"/>
      <c r="Z29" s="2"/>
      <c r="AA29" s="2"/>
      <c r="AD29" s="222" t="s">
        <v>37</v>
      </c>
      <c r="AE29" s="223"/>
      <c r="AF29" s="16"/>
      <c r="AG29" s="214"/>
      <c r="AH29" s="215"/>
      <c r="AJ29" s="214"/>
      <c r="AK29" s="215"/>
      <c r="AL29" s="63"/>
      <c r="AM29" s="2"/>
      <c r="AN29" s="31"/>
      <c r="AO29" s="2"/>
      <c r="AP29" s="31"/>
    </row>
    <row r="30" spans="2:42" ht="15" customHeight="1" hidden="1" outlineLevel="1">
      <c r="B30" s="222" t="s">
        <v>13</v>
      </c>
      <c r="C30" s="223"/>
      <c r="D30" s="18"/>
      <c r="E30" s="224"/>
      <c r="F30" s="225"/>
      <c r="G30" s="18"/>
      <c r="H30" s="214"/>
      <c r="I30" s="215"/>
      <c r="M30" s="214"/>
      <c r="N30" s="215"/>
      <c r="P30" s="1"/>
      <c r="Q30" s="1"/>
      <c r="R30" s="63"/>
      <c r="T30" s="12">
        <f>E30*12</f>
        <v>0</v>
      </c>
      <c r="V30" s="31"/>
      <c r="W30" s="2"/>
      <c r="X30" s="31"/>
      <c r="Y30" s="68"/>
      <c r="AD30" s="222" t="s">
        <v>38</v>
      </c>
      <c r="AE30" s="223"/>
      <c r="AF30" s="16"/>
      <c r="AG30" s="214"/>
      <c r="AH30" s="215"/>
      <c r="AJ30" s="214"/>
      <c r="AK30" s="215"/>
      <c r="AL30" s="63"/>
      <c r="AM30" s="2"/>
      <c r="AN30" s="31"/>
      <c r="AO30" s="2"/>
      <c r="AP30" s="31"/>
    </row>
    <row r="31" spans="2:42" ht="28.5" customHeight="1" collapsed="1" thickBot="1">
      <c r="B31" s="207" t="s">
        <v>42</v>
      </c>
      <c r="C31" s="208"/>
      <c r="D31" s="18"/>
      <c r="E31" s="217">
        <f>E8+E17+E22+E26</f>
        <v>4268.642930418</v>
      </c>
      <c r="F31" s="218"/>
      <c r="G31" s="18"/>
      <c r="H31" s="217">
        <f>H8+H17+H22</f>
        <v>4720.511020428059</v>
      </c>
      <c r="I31" s="218"/>
      <c r="M31" s="217">
        <f>M8+M17+M22</f>
        <v>5613.801789658829</v>
      </c>
      <c r="N31" s="218"/>
      <c r="O31" s="45"/>
      <c r="P31" s="28">
        <f>M31-H31</f>
        <v>893.2907692307699</v>
      </c>
      <c r="Q31" s="28">
        <f>M31-E31</f>
        <v>1345.1588592408289</v>
      </c>
      <c r="R31" s="34"/>
      <c r="S31" s="13"/>
      <c r="T31" s="37">
        <f>T8+T17+T22+T26</f>
        <v>55492.358095434</v>
      </c>
      <c r="U31" s="13"/>
      <c r="V31" s="37">
        <f>V8+V17+V22</f>
        <v>61366.643265564766</v>
      </c>
      <c r="W31" s="15"/>
      <c r="X31" s="37">
        <f>X8+X17+X22</f>
        <v>72979.42326556478</v>
      </c>
      <c r="Y31" s="29"/>
      <c r="Z31" s="28">
        <f>X31-V31</f>
        <v>11612.780000000013</v>
      </c>
      <c r="AA31" s="28">
        <f>X31-T31</f>
        <v>17487.06517013078</v>
      </c>
      <c r="AB31" s="30"/>
      <c r="AC31" s="30"/>
      <c r="AD31" s="207" t="s">
        <v>43</v>
      </c>
      <c r="AE31" s="208"/>
      <c r="AF31" s="18"/>
      <c r="AG31" s="217">
        <f>AG8+AG17+AG22</f>
        <v>4720.511020428059</v>
      </c>
      <c r="AH31" s="218"/>
      <c r="AJ31" s="217">
        <f>AJ8+AJ17+AJ22</f>
        <v>5613.801789658829</v>
      </c>
      <c r="AK31" s="218"/>
      <c r="AL31" s="34"/>
      <c r="AM31" s="13"/>
      <c r="AN31" s="37">
        <f>AN8+AN17+AN22</f>
        <v>61366.643265564766</v>
      </c>
      <c r="AO31" s="15"/>
      <c r="AP31" s="37">
        <f>AP8+AP17+AP22</f>
        <v>72979.42326556478</v>
      </c>
    </row>
    <row r="32" spans="13:32" ht="12.75" customHeight="1">
      <c r="M32" s="1"/>
      <c r="N32" s="1"/>
      <c r="R32" s="63"/>
      <c r="T32" s="3"/>
      <c r="AD32" s="1"/>
      <c r="AE32" s="1"/>
      <c r="AF32" s="1"/>
    </row>
    <row r="33" spans="1:30" ht="12.75" customHeight="1">
      <c r="A33" s="88" t="s">
        <v>62</v>
      </c>
      <c r="B33" s="1" t="s">
        <v>88</v>
      </c>
      <c r="M33" s="1"/>
      <c r="N33" s="1"/>
      <c r="R33" s="63"/>
      <c r="AC33" s="88" t="s">
        <v>62</v>
      </c>
      <c r="AD33" s="1" t="s">
        <v>207</v>
      </c>
    </row>
    <row r="34" spans="1:30" ht="12.75" customHeight="1">
      <c r="A34" s="88"/>
      <c r="M34" s="1"/>
      <c r="N34" s="1"/>
      <c r="AC34" s="88"/>
      <c r="AD34" s="1"/>
    </row>
    <row r="35" spans="1:30" ht="12.75" customHeight="1">
      <c r="A35" s="88" t="s">
        <v>63</v>
      </c>
      <c r="B35" s="1" t="s">
        <v>110</v>
      </c>
      <c r="AC35" s="88" t="s">
        <v>63</v>
      </c>
      <c r="AD35" s="1" t="s">
        <v>211</v>
      </c>
    </row>
    <row r="36" spans="1:30" ht="12.75" customHeight="1">
      <c r="A36" s="88"/>
      <c r="AC36" s="88"/>
      <c r="AD36" s="1"/>
    </row>
    <row r="37" spans="1:30" ht="12.75" customHeight="1">
      <c r="A37" s="88" t="s">
        <v>64</v>
      </c>
      <c r="B37" s="1" t="s">
        <v>104</v>
      </c>
      <c r="AC37" s="88" t="s">
        <v>64</v>
      </c>
      <c r="AD37" s="1" t="s">
        <v>206</v>
      </c>
    </row>
    <row r="38" spans="2:30" ht="12.75" customHeight="1">
      <c r="B38" s="95" t="s">
        <v>77</v>
      </c>
      <c r="AD38" s="95" t="s">
        <v>216</v>
      </c>
    </row>
    <row r="39" spans="2:30" ht="12.75" customHeight="1">
      <c r="B39" s="95" t="s">
        <v>78</v>
      </c>
      <c r="AD39" s="95" t="s">
        <v>205</v>
      </c>
    </row>
    <row r="40" spans="2:30" ht="12.75" customHeight="1">
      <c r="B40" s="95" t="s">
        <v>79</v>
      </c>
      <c r="AD40" s="95" t="s">
        <v>221</v>
      </c>
    </row>
    <row r="41" spans="2:30" ht="12.75" customHeight="1">
      <c r="B41" s="1" t="s">
        <v>68</v>
      </c>
      <c r="AD41" s="1" t="s">
        <v>219</v>
      </c>
    </row>
    <row r="42" spans="2:30" ht="12.75" customHeight="1">
      <c r="B42" s="95">
        <v>0</v>
      </c>
      <c r="AD42" s="95">
        <f aca="true" t="shared" si="10" ref="AD42:AD47">B42</f>
        <v>0</v>
      </c>
    </row>
    <row r="43" spans="1:30" ht="12.75" customHeight="1">
      <c r="A43" s="88" t="s">
        <v>70</v>
      </c>
      <c r="B43" s="1">
        <v>7800</v>
      </c>
      <c r="AC43" s="88" t="s">
        <v>70</v>
      </c>
      <c r="AD43" s="95">
        <f t="shared" si="10"/>
        <v>7800</v>
      </c>
    </row>
    <row r="44" spans="1:30" ht="12.75" customHeight="1">
      <c r="A44" s="88" t="s">
        <v>70</v>
      </c>
      <c r="B44" s="1">
        <v>1126.65</v>
      </c>
      <c r="AC44" s="88" t="s">
        <v>70</v>
      </c>
      <c r="AD44" s="95">
        <f t="shared" si="10"/>
        <v>1126.65</v>
      </c>
    </row>
    <row r="45" spans="1:30" ht="12.75" customHeight="1">
      <c r="A45" s="88" t="s">
        <v>70</v>
      </c>
      <c r="B45" s="1">
        <v>1559.48</v>
      </c>
      <c r="AC45" s="88" t="s">
        <v>70</v>
      </c>
      <c r="AD45" s="95">
        <f t="shared" si="10"/>
        <v>1559.48</v>
      </c>
    </row>
    <row r="46" spans="2:30" ht="12.75" customHeight="1">
      <c r="B46" s="96">
        <f>B42-(B43+B44+B45)</f>
        <v>-10486.13</v>
      </c>
      <c r="AD46" s="186">
        <f t="shared" si="10"/>
        <v>-10486.13</v>
      </c>
    </row>
    <row r="47" spans="1:30" ht="12.75" customHeight="1">
      <c r="A47" s="88" t="s">
        <v>71</v>
      </c>
      <c r="B47" s="41">
        <f>B46/13</f>
        <v>-806.6253846153845</v>
      </c>
      <c r="AC47" s="88" t="s">
        <v>71</v>
      </c>
      <c r="AD47" s="191">
        <f t="shared" si="10"/>
        <v>-806.6253846153845</v>
      </c>
    </row>
    <row r="48" spans="2:30" ht="12.75" customHeight="1">
      <c r="B48" s="1" t="s">
        <v>105</v>
      </c>
      <c r="AD48" s="51" t="s">
        <v>203</v>
      </c>
    </row>
    <row r="56" ht="12.75">
      <c r="I56" s="41"/>
    </row>
    <row r="58" spans="8:9" ht="12.75">
      <c r="H58" s="2"/>
      <c r="I58" s="2"/>
    </row>
    <row r="60" ht="12.75">
      <c r="I60" s="2"/>
    </row>
    <row r="61" ht="12.75">
      <c r="I61" s="2"/>
    </row>
    <row r="62" ht="12.75">
      <c r="I62" s="2"/>
    </row>
    <row r="63" ht="12.75">
      <c r="I63" s="2"/>
    </row>
    <row r="64" ht="12.75">
      <c r="I64" s="2"/>
    </row>
    <row r="65" ht="12.75">
      <c r="I65" s="15"/>
    </row>
  </sheetData>
  <mergeCells count="153">
    <mergeCell ref="AC3:AQ3"/>
    <mergeCell ref="M31:N31"/>
    <mergeCell ref="AG5:AK5"/>
    <mergeCell ref="AN5:AP5"/>
    <mergeCell ref="AD30:AE30"/>
    <mergeCell ref="AG30:AH30"/>
    <mergeCell ref="AJ30:AK30"/>
    <mergeCell ref="AD28:AE28"/>
    <mergeCell ref="AG28:AH28"/>
    <mergeCell ref="AD26:AE26"/>
    <mergeCell ref="H30:I30"/>
    <mergeCell ref="M30:N30"/>
    <mergeCell ref="AJ28:AK28"/>
    <mergeCell ref="AD31:AE31"/>
    <mergeCell ref="AG31:AH31"/>
    <mergeCell ref="AJ31:AK31"/>
    <mergeCell ref="AJ29:AK29"/>
    <mergeCell ref="AD29:AE29"/>
    <mergeCell ref="B31:C31"/>
    <mergeCell ref="E31:F31"/>
    <mergeCell ref="H31:I31"/>
    <mergeCell ref="AG29:AH29"/>
    <mergeCell ref="B29:C29"/>
    <mergeCell ref="E29:F29"/>
    <mergeCell ref="H29:I29"/>
    <mergeCell ref="M29:N29"/>
    <mergeCell ref="B30:C30"/>
    <mergeCell ref="E30:F30"/>
    <mergeCell ref="B28:C28"/>
    <mergeCell ref="E28:F28"/>
    <mergeCell ref="H28:I28"/>
    <mergeCell ref="M28:N28"/>
    <mergeCell ref="AG26:AH26"/>
    <mergeCell ref="AJ26:AK26"/>
    <mergeCell ref="B27:C27"/>
    <mergeCell ref="E27:F27"/>
    <mergeCell ref="H27:I27"/>
    <mergeCell ref="M27:N27"/>
    <mergeCell ref="AD27:AE27"/>
    <mergeCell ref="AG27:AH27"/>
    <mergeCell ref="AJ27:AK27"/>
    <mergeCell ref="B26:C26"/>
    <mergeCell ref="E26:F26"/>
    <mergeCell ref="H26:I26"/>
    <mergeCell ref="M26:N26"/>
    <mergeCell ref="AJ24:AK24"/>
    <mergeCell ref="E25:F25"/>
    <mergeCell ref="H25:I25"/>
    <mergeCell ref="M25:N25"/>
    <mergeCell ref="AG25:AH25"/>
    <mergeCell ref="AJ25:AK25"/>
    <mergeCell ref="E24:F24"/>
    <mergeCell ref="H24:I24"/>
    <mergeCell ref="M24:N24"/>
    <mergeCell ref="AG24:AH24"/>
    <mergeCell ref="AG22:AH22"/>
    <mergeCell ref="AJ22:AK22"/>
    <mergeCell ref="E23:F23"/>
    <mergeCell ref="H23:I23"/>
    <mergeCell ref="M23:N23"/>
    <mergeCell ref="AG23:AH23"/>
    <mergeCell ref="AJ23:AK23"/>
    <mergeCell ref="B21:C21"/>
    <mergeCell ref="AD21:AE21"/>
    <mergeCell ref="B22:C22"/>
    <mergeCell ref="E22:F22"/>
    <mergeCell ref="H22:I22"/>
    <mergeCell ref="M22:N22"/>
    <mergeCell ref="AD22:AE22"/>
    <mergeCell ref="B19:C19"/>
    <mergeCell ref="AD19:AE19"/>
    <mergeCell ref="B20:C20"/>
    <mergeCell ref="AD20:AE20"/>
    <mergeCell ref="AD17:AE17"/>
    <mergeCell ref="AG17:AH17"/>
    <mergeCell ref="AJ17:AK17"/>
    <mergeCell ref="B18:C18"/>
    <mergeCell ref="AD18:AE18"/>
    <mergeCell ref="B17:C17"/>
    <mergeCell ref="E17:F17"/>
    <mergeCell ref="H17:I17"/>
    <mergeCell ref="M17:N17"/>
    <mergeCell ref="AD15:AE15"/>
    <mergeCell ref="AG15:AH15"/>
    <mergeCell ref="AJ15:AK15"/>
    <mergeCell ref="B16:C16"/>
    <mergeCell ref="E16:F16"/>
    <mergeCell ref="H16:I16"/>
    <mergeCell ref="M16:N16"/>
    <mergeCell ref="AD16:AE16"/>
    <mergeCell ref="AG16:AH16"/>
    <mergeCell ref="AJ16:AK16"/>
    <mergeCell ref="B15:C15"/>
    <mergeCell ref="E15:F15"/>
    <mergeCell ref="H15:I15"/>
    <mergeCell ref="M15:N15"/>
    <mergeCell ref="AD13:AE13"/>
    <mergeCell ref="AG13:AH13"/>
    <mergeCell ref="AJ13:AK13"/>
    <mergeCell ref="B14:C14"/>
    <mergeCell ref="E14:F14"/>
    <mergeCell ref="H14:I14"/>
    <mergeCell ref="M14:N14"/>
    <mergeCell ref="AD14:AE14"/>
    <mergeCell ref="AG14:AH14"/>
    <mergeCell ref="AJ14:AK14"/>
    <mergeCell ref="B13:C13"/>
    <mergeCell ref="E13:F13"/>
    <mergeCell ref="H13:I13"/>
    <mergeCell ref="M13:N13"/>
    <mergeCell ref="AD11:AE11"/>
    <mergeCell ref="AG11:AH11"/>
    <mergeCell ref="AJ11:AK11"/>
    <mergeCell ref="B12:C12"/>
    <mergeCell ref="E12:F12"/>
    <mergeCell ref="H12:I12"/>
    <mergeCell ref="M12:N12"/>
    <mergeCell ref="AD12:AE12"/>
    <mergeCell ref="AG12:AH12"/>
    <mergeCell ref="AJ12:AK12"/>
    <mergeCell ref="B11:C11"/>
    <mergeCell ref="E11:F11"/>
    <mergeCell ref="H11:I11"/>
    <mergeCell ref="M11:N11"/>
    <mergeCell ref="AD9:AE9"/>
    <mergeCell ref="AG9:AH9"/>
    <mergeCell ref="AJ9:AK9"/>
    <mergeCell ref="B10:C10"/>
    <mergeCell ref="E10:F10"/>
    <mergeCell ref="H10:I10"/>
    <mergeCell ref="M10:N10"/>
    <mergeCell ref="AD10:AE10"/>
    <mergeCell ref="AG10:AH10"/>
    <mergeCell ref="AJ10:AK10"/>
    <mergeCell ref="B9:C9"/>
    <mergeCell ref="E9:F9"/>
    <mergeCell ref="H9:I9"/>
    <mergeCell ref="M9:N9"/>
    <mergeCell ref="AG7:AH7"/>
    <mergeCell ref="AJ7:AK7"/>
    <mergeCell ref="B8:C8"/>
    <mergeCell ref="E8:F8"/>
    <mergeCell ref="H8:I8"/>
    <mergeCell ref="M8:N8"/>
    <mergeCell ref="AD8:AE8"/>
    <mergeCell ref="AG8:AH8"/>
    <mergeCell ref="AJ8:AK8"/>
    <mergeCell ref="A3:AB3"/>
    <mergeCell ref="H5:N5"/>
    <mergeCell ref="V5:X5"/>
    <mergeCell ref="E7:F7"/>
    <mergeCell ref="H7:I7"/>
    <mergeCell ref="M7:N7"/>
  </mergeCells>
  <printOptions/>
  <pageMargins left="0.31496062992125984" right="0" top="0.31496062992125984" bottom="0" header="0.5118110236220472" footer="0.5118110236220472"/>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codeName="Sheet1"/>
  <dimension ref="A1:AZ65"/>
  <sheetViews>
    <sheetView view="pageBreakPreview" zoomScaleSheetLayoutView="100" workbookViewId="0" topLeftCell="J1">
      <selection activeCell="K44" sqref="K44"/>
    </sheetView>
  </sheetViews>
  <sheetFormatPr defaultColWidth="11.421875" defaultRowHeight="12.75" outlineLevelRow="1" outlineLevelCol="1"/>
  <cols>
    <col min="1" max="1" width="27.8515625" style="1" hidden="1" customWidth="1" outlineLevel="1"/>
    <col min="2" max="2" width="16.28125" style="1" hidden="1" customWidth="1" outlineLevel="1"/>
    <col min="3" max="3" width="11.421875" style="1" hidden="1" customWidth="1" outlineLevel="1"/>
    <col min="4" max="4" width="5.57421875" style="1" hidden="1" customWidth="1" outlineLevel="1"/>
    <col min="5" max="5" width="6.421875" style="1" hidden="1" customWidth="1" outlineLevel="1"/>
    <col min="6" max="6" width="13.7109375" style="1" hidden="1" customWidth="1" outlineLevel="1"/>
    <col min="7" max="7" width="3.00390625" style="1" hidden="1" customWidth="1" outlineLevel="1"/>
    <col min="8" max="8" width="5.140625" style="1" hidden="1" customWidth="1" outlineLevel="1"/>
    <col min="9" max="9" width="7.140625" style="1" hidden="1" customWidth="1" outlineLevel="1"/>
    <col min="10" max="10" width="18.00390625" style="1" customWidth="1" collapsed="1"/>
    <col min="11" max="11" width="40.8515625" style="1" customWidth="1"/>
    <col min="12" max="12" width="5.00390625" style="1" customWidth="1"/>
    <col min="13" max="13" width="4.140625" style="1" customWidth="1"/>
    <col min="14" max="14" width="4.140625" style="1" hidden="1" customWidth="1" outlineLevel="1"/>
    <col min="15" max="15" width="10.57421875" style="1" hidden="1" customWidth="1" outlineLevel="1"/>
    <col min="16" max="16" width="2.28125" style="1" hidden="1" customWidth="1" outlineLevel="1"/>
    <col min="17" max="17" width="5.140625" style="1" customWidth="1" collapsed="1"/>
    <col min="18" max="18" width="16.28125" style="1" customWidth="1"/>
    <col min="19" max="19" width="3.140625" style="1" customWidth="1"/>
    <col min="20" max="20" width="4.57421875" style="1" hidden="1" customWidth="1" outlineLevel="1"/>
    <col min="21" max="21" width="11.421875" style="1" hidden="1" customWidth="1" outlineLevel="1"/>
    <col min="22" max="22" width="5.140625" style="2" customWidth="1" collapsed="1"/>
    <col min="23" max="23" width="15.00390625" style="2" customWidth="1"/>
    <col min="24" max="24" width="9.7109375" style="61" customWidth="1"/>
    <col min="25" max="25" width="15.28125" style="2" hidden="1" customWidth="1" outlineLevel="1"/>
    <col min="26" max="26" width="14.8515625" style="2" hidden="1" customWidth="1" outlineLevel="1"/>
    <col min="27" max="27" width="2.7109375" style="2" customWidth="1" collapsed="1"/>
    <col min="28" max="28" width="11.140625" style="2" customWidth="1"/>
    <col min="29" max="29" width="14.8515625" style="2" hidden="1" customWidth="1" outlineLevel="1"/>
    <col min="30" max="30" width="2.00390625" style="2" hidden="1" customWidth="1" outlineLevel="1"/>
    <col min="31" max="31" width="20.28125" style="1" customWidth="1" collapsed="1"/>
    <col min="32" max="32" width="3.140625" style="1" customWidth="1"/>
    <col min="33" max="33" width="19.00390625" style="1" customWidth="1"/>
    <col min="34" max="34" width="5.28125" style="1" customWidth="1"/>
    <col min="35" max="35" width="17.00390625" style="1" hidden="1" customWidth="1" outlineLevel="1"/>
    <col min="36" max="36" width="16.28125" style="1" hidden="1" customWidth="1" outlineLevel="1"/>
    <col min="37" max="37" width="13.00390625" style="1" customWidth="1" collapsed="1"/>
    <col min="38" max="38" width="19.421875" style="1" customWidth="1"/>
    <col min="39" max="39" width="40.421875" style="51" customWidth="1"/>
    <col min="40" max="40" width="8.140625" style="51" customWidth="1"/>
    <col min="41" max="41" width="3.28125" style="51" customWidth="1"/>
    <col min="42" max="42" width="4.7109375" style="1" customWidth="1"/>
    <col min="43" max="43" width="15.140625" style="1" customWidth="1"/>
    <col min="44" max="44" width="3.140625" style="1" customWidth="1"/>
    <col min="45" max="45" width="5.00390625" style="1" customWidth="1"/>
    <col min="46" max="46" width="15.7109375" style="1" customWidth="1"/>
    <col min="47" max="48" width="11.421875" style="1" customWidth="1"/>
    <col min="49" max="49" width="22.28125" style="1" customWidth="1"/>
    <col min="50" max="50" width="3.7109375" style="1" customWidth="1"/>
    <col min="51" max="51" width="20.7109375" style="1" customWidth="1"/>
    <col min="52" max="52" width="13.421875" style="1" customWidth="1"/>
    <col min="53" max="53" width="6.140625" style="1" customWidth="1"/>
    <col min="54" max="16384" width="11.421875" style="1" customWidth="1"/>
  </cols>
  <sheetData>
    <row r="1" spans="1:52" ht="26.25" customHeight="1">
      <c r="A1" s="201" t="s">
        <v>93</v>
      </c>
      <c r="B1" s="202"/>
      <c r="C1" s="202"/>
      <c r="D1" s="202"/>
      <c r="E1" s="202"/>
      <c r="F1" s="202"/>
      <c r="G1" s="202"/>
      <c r="H1" s="93"/>
      <c r="I1" s="93"/>
      <c r="AK1" s="196" t="s">
        <v>238</v>
      </c>
      <c r="AZ1" s="196" t="s">
        <v>237</v>
      </c>
    </row>
    <row r="2" spans="1:10" ht="6.75" customHeight="1">
      <c r="A2" s="202"/>
      <c r="B2" s="202"/>
      <c r="C2" s="202"/>
      <c r="D2" s="202"/>
      <c r="E2" s="202"/>
      <c r="F2" s="202"/>
      <c r="G2" s="202"/>
      <c r="H2" s="93"/>
      <c r="I2" s="93"/>
      <c r="J2" s="93"/>
    </row>
    <row r="3" spans="1:52" s="2" customFormat="1" ht="51" customHeight="1">
      <c r="A3" s="202"/>
      <c r="B3" s="202"/>
      <c r="C3" s="202"/>
      <c r="D3" s="202"/>
      <c r="E3" s="202"/>
      <c r="F3" s="202"/>
      <c r="G3" s="202"/>
      <c r="H3" s="93"/>
      <c r="I3" s="93"/>
      <c r="J3" s="200" t="s">
        <v>232</v>
      </c>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t="s">
        <v>226</v>
      </c>
      <c r="AM3" s="200"/>
      <c r="AN3" s="200"/>
      <c r="AO3" s="200"/>
      <c r="AP3" s="200"/>
      <c r="AQ3" s="200"/>
      <c r="AR3" s="200"/>
      <c r="AS3" s="200"/>
      <c r="AT3" s="200"/>
      <c r="AU3" s="200"/>
      <c r="AV3" s="200"/>
      <c r="AW3" s="200"/>
      <c r="AX3" s="200"/>
      <c r="AY3" s="200"/>
      <c r="AZ3" s="200"/>
    </row>
    <row r="4" spans="1:41" s="2" customFormat="1" ht="19.5" customHeight="1" thickBot="1">
      <c r="A4" s="202"/>
      <c r="B4" s="202"/>
      <c r="C4" s="202"/>
      <c r="D4" s="202"/>
      <c r="E4" s="202"/>
      <c r="F4" s="202"/>
      <c r="G4" s="202"/>
      <c r="H4" s="93"/>
      <c r="I4" s="93"/>
      <c r="J4" s="93"/>
      <c r="K4" s="1"/>
      <c r="L4" s="1"/>
      <c r="M4" s="18"/>
      <c r="N4" s="18"/>
      <c r="O4" s="18"/>
      <c r="P4" s="18"/>
      <c r="Q4" s="54"/>
      <c r="R4" s="54"/>
      <c r="S4" s="54"/>
      <c r="T4" s="54"/>
      <c r="U4" s="54"/>
      <c r="X4" s="61"/>
      <c r="AM4" s="86"/>
      <c r="AN4" s="86"/>
      <c r="AO4" s="18"/>
    </row>
    <row r="5" spans="5:51" s="2" customFormat="1" ht="17.25" customHeight="1" thickBot="1">
      <c r="E5" s="203"/>
      <c r="F5" s="203"/>
      <c r="K5" s="18"/>
      <c r="L5" s="18"/>
      <c r="M5" s="71"/>
      <c r="O5" s="75"/>
      <c r="P5" s="75"/>
      <c r="Q5" s="219" t="s">
        <v>1</v>
      </c>
      <c r="R5" s="220"/>
      <c r="S5" s="220"/>
      <c r="T5" s="220"/>
      <c r="U5" s="220"/>
      <c r="V5" s="220"/>
      <c r="W5" s="221"/>
      <c r="X5" s="77"/>
      <c r="AD5" s="75"/>
      <c r="AE5" s="219" t="s">
        <v>2</v>
      </c>
      <c r="AF5" s="220"/>
      <c r="AG5" s="221"/>
      <c r="AH5" s="77"/>
      <c r="AI5" s="98"/>
      <c r="AM5" s="18"/>
      <c r="AN5" s="18"/>
      <c r="AO5" s="18"/>
      <c r="AP5" s="219" t="s">
        <v>82</v>
      </c>
      <c r="AQ5" s="220"/>
      <c r="AR5" s="220"/>
      <c r="AS5" s="220"/>
      <c r="AT5" s="221"/>
      <c r="AW5" s="219" t="s">
        <v>83</v>
      </c>
      <c r="AX5" s="220"/>
      <c r="AY5" s="221"/>
    </row>
    <row r="6" spans="5:46" ht="6.75" customHeight="1" thickBot="1">
      <c r="E6" s="232" t="s">
        <v>47</v>
      </c>
      <c r="F6" s="232"/>
      <c r="Y6" s="27" t="s">
        <v>3</v>
      </c>
      <c r="Z6" s="27" t="s">
        <v>3</v>
      </c>
      <c r="AA6" s="32"/>
      <c r="AI6" s="27" t="s">
        <v>3</v>
      </c>
      <c r="AJ6" s="27" t="s">
        <v>3</v>
      </c>
      <c r="AN6" s="18"/>
      <c r="AO6" s="1"/>
      <c r="AT6" s="72"/>
    </row>
    <row r="7" spans="1:51" s="2" customFormat="1" ht="63" customHeight="1" thickBot="1">
      <c r="A7" s="232" t="s">
        <v>59</v>
      </c>
      <c r="B7" s="232"/>
      <c r="C7" s="86"/>
      <c r="E7" s="231"/>
      <c r="F7" s="231"/>
      <c r="K7" s="67"/>
      <c r="N7" s="231" t="s">
        <v>17</v>
      </c>
      <c r="O7" s="231"/>
      <c r="P7" s="56"/>
      <c r="Q7" s="230" t="s">
        <v>179</v>
      </c>
      <c r="R7" s="230"/>
      <c r="S7" s="56"/>
      <c r="T7" s="56"/>
      <c r="U7" s="56"/>
      <c r="V7" s="230" t="s">
        <v>106</v>
      </c>
      <c r="W7" s="230"/>
      <c r="X7" s="61"/>
      <c r="Y7" s="42" t="s">
        <v>19</v>
      </c>
      <c r="Z7" s="42" t="s">
        <v>18</v>
      </c>
      <c r="AA7" s="33"/>
      <c r="AB7" s="159" t="s">
        <v>178</v>
      </c>
      <c r="AC7" s="46" t="s">
        <v>17</v>
      </c>
      <c r="AD7" s="57"/>
      <c r="AE7" s="172" t="s">
        <v>179</v>
      </c>
      <c r="AF7" s="58"/>
      <c r="AG7" s="172" t="s">
        <v>106</v>
      </c>
      <c r="AH7" s="59"/>
      <c r="AI7" s="42" t="s">
        <v>19</v>
      </c>
      <c r="AJ7" s="42" t="s">
        <v>18</v>
      </c>
      <c r="AM7" s="55"/>
      <c r="AN7" s="56"/>
      <c r="AO7" s="56"/>
      <c r="AP7" s="226" t="s">
        <v>197</v>
      </c>
      <c r="AQ7" s="226"/>
      <c r="AR7" s="56"/>
      <c r="AS7" s="226" t="s">
        <v>198</v>
      </c>
      <c r="AT7" s="226"/>
      <c r="AU7" s="33"/>
      <c r="AV7" s="159" t="s">
        <v>193</v>
      </c>
      <c r="AW7" s="190" t="s">
        <v>197</v>
      </c>
      <c r="AX7" s="86"/>
      <c r="AY7" s="190" t="s">
        <v>197</v>
      </c>
    </row>
    <row r="8" spans="5:51" ht="28.5" customHeight="1" thickBot="1">
      <c r="E8" s="227">
        <f>E9+E11+E12+E13</f>
        <v>5186.7</v>
      </c>
      <c r="F8" s="228"/>
      <c r="K8" s="229" t="s">
        <v>0</v>
      </c>
      <c r="L8" s="229"/>
      <c r="M8" s="14"/>
      <c r="N8" s="227">
        <f>N10+N11+N12+N13+N9</f>
        <v>5731.2188478664</v>
      </c>
      <c r="O8" s="228"/>
      <c r="P8" s="14"/>
      <c r="Q8" s="227">
        <f>Q9+Q11+Q12+Q13+Q10</f>
        <v>3168.9534101491777</v>
      </c>
      <c r="R8" s="228"/>
      <c r="V8" s="227">
        <f>V9+V11+V12+V13+V14+V15+V16+V10</f>
        <v>4756.59541419776</v>
      </c>
      <c r="W8" s="228"/>
      <c r="X8" s="47"/>
      <c r="Y8" s="38">
        <f>V8-Q8</f>
        <v>1587.6420040485823</v>
      </c>
      <c r="Z8" s="38">
        <f>V8-N8</f>
        <v>-974.6234336686402</v>
      </c>
      <c r="AA8" s="34"/>
      <c r="AB8" s="21">
        <v>13</v>
      </c>
      <c r="AC8" s="26">
        <f aca="true" t="shared" si="0" ref="AC8:AC13">N8*13</f>
        <v>74505.84502226321</v>
      </c>
      <c r="AD8" s="57"/>
      <c r="AE8" s="26">
        <f aca="true" t="shared" si="1" ref="AE8:AE13">Q8*13</f>
        <v>41196.39433193931</v>
      </c>
      <c r="AF8" s="15"/>
      <c r="AG8" s="25">
        <f>(V9+V11+V12+V13+V14+V15+V16+V10)*13</f>
        <v>61835.740384570876</v>
      </c>
      <c r="AH8" s="19"/>
      <c r="AI8" s="28">
        <f aca="true" t="shared" si="2" ref="AI8:AI17">AG8-AE8</f>
        <v>20639.34605263157</v>
      </c>
      <c r="AJ8" s="28">
        <f aca="true" t="shared" si="3" ref="AJ8:AJ16">AG8-AC8</f>
        <v>-12670.104637692333</v>
      </c>
      <c r="AM8" s="229" t="s">
        <v>23</v>
      </c>
      <c r="AN8" s="229"/>
      <c r="AO8" s="14"/>
      <c r="AP8" s="227">
        <f>AP9+AP11+AP12+AP13+AP10</f>
        <v>3168.9534101491777</v>
      </c>
      <c r="AQ8" s="228"/>
      <c r="AS8" s="227">
        <f>V8</f>
        <v>4756.59541419776</v>
      </c>
      <c r="AT8" s="228"/>
      <c r="AU8" s="34"/>
      <c r="AV8" s="21">
        <v>13</v>
      </c>
      <c r="AW8" s="26">
        <f aca="true" t="shared" si="4" ref="AW8:AW13">AP8*13</f>
        <v>41196.39433193931</v>
      </c>
      <c r="AX8" s="15"/>
      <c r="AY8" s="25">
        <f>(AS9+AS11+AS12+AS13+AS14+AS15+AS16+AS10)*13</f>
        <v>61835.740384570876</v>
      </c>
    </row>
    <row r="9" spans="1:51" ht="15" customHeight="1">
      <c r="A9" s="80" t="s">
        <v>74</v>
      </c>
      <c r="B9" s="84">
        <v>2230.7</v>
      </c>
      <c r="D9" s="89" t="s">
        <v>57</v>
      </c>
      <c r="E9" s="224">
        <v>2676.72</v>
      </c>
      <c r="F9" s="225"/>
      <c r="K9" s="222" t="s">
        <v>61</v>
      </c>
      <c r="L9" s="223"/>
      <c r="M9" s="16"/>
      <c r="N9" s="224">
        <v>2061.06</v>
      </c>
      <c r="O9" s="225"/>
      <c r="P9" s="16"/>
      <c r="Q9" s="224">
        <f>2279.24/2</f>
        <v>1139.62</v>
      </c>
      <c r="R9" s="225"/>
      <c r="V9" s="224">
        <f>Q9*40/38</f>
        <v>1199.6</v>
      </c>
      <c r="W9" s="225"/>
      <c r="X9" s="101" t="s">
        <v>14</v>
      </c>
      <c r="Y9" s="39">
        <f aca="true" t="shared" si="5" ref="Y9:Y15">V9-Q9</f>
        <v>59.98000000000002</v>
      </c>
      <c r="Z9" s="39">
        <f>V9-N10</f>
        <v>212.07999999999993</v>
      </c>
      <c r="AA9" s="35"/>
      <c r="AB9" s="20"/>
      <c r="AC9" s="12">
        <f t="shared" si="0"/>
        <v>26793.78</v>
      </c>
      <c r="AD9" s="20"/>
      <c r="AE9" s="12">
        <f t="shared" si="1"/>
        <v>14815.059999999998</v>
      </c>
      <c r="AF9" s="2"/>
      <c r="AG9" s="12">
        <f aca="true" t="shared" si="6" ref="AG9:AG17">V9*13</f>
        <v>15594.8</v>
      </c>
      <c r="AH9" s="60"/>
      <c r="AI9" s="40">
        <f t="shared" si="2"/>
        <v>779.7400000000016</v>
      </c>
      <c r="AJ9" s="40">
        <f t="shared" si="3"/>
        <v>-11198.98</v>
      </c>
      <c r="AM9" s="222" t="s">
        <v>80</v>
      </c>
      <c r="AN9" s="223"/>
      <c r="AO9" s="16"/>
      <c r="AP9" s="224">
        <f>Q9</f>
        <v>1139.62</v>
      </c>
      <c r="AQ9" s="225"/>
      <c r="AS9" s="224">
        <f>V9</f>
        <v>1199.6</v>
      </c>
      <c r="AT9" s="225"/>
      <c r="AU9" s="102" t="s">
        <v>14</v>
      </c>
      <c r="AV9" s="20"/>
      <c r="AW9" s="12">
        <f t="shared" si="4"/>
        <v>14815.059999999998</v>
      </c>
      <c r="AX9" s="2"/>
      <c r="AY9" s="12">
        <f aca="true" t="shared" si="7" ref="AY9:AY17">AS9*13</f>
        <v>15594.8</v>
      </c>
    </row>
    <row r="10" spans="1:51" ht="15" customHeight="1">
      <c r="A10" s="80"/>
      <c r="B10" s="84"/>
      <c r="D10" s="89"/>
      <c r="E10" s="91"/>
      <c r="F10" s="92"/>
      <c r="K10" s="222" t="s">
        <v>100</v>
      </c>
      <c r="L10" s="223"/>
      <c r="M10" s="16"/>
      <c r="N10" s="224">
        <f>3048.58-2061.06</f>
        <v>987.52</v>
      </c>
      <c r="O10" s="225"/>
      <c r="P10" s="16"/>
      <c r="Q10" s="224">
        <f>'con &gt; 15 anni'!Q10:R10/2</f>
        <v>546.025</v>
      </c>
      <c r="R10" s="225"/>
      <c r="V10" s="224">
        <f>Q10*40/38</f>
        <v>574.7631578947369</v>
      </c>
      <c r="W10" s="225"/>
      <c r="X10" s="101" t="s">
        <v>14</v>
      </c>
      <c r="Y10" s="39">
        <f t="shared" si="5"/>
        <v>28.7381578947369</v>
      </c>
      <c r="Z10" s="39">
        <f>V10-N11</f>
        <v>-192.18684210526317</v>
      </c>
      <c r="AA10" s="35"/>
      <c r="AB10" s="20"/>
      <c r="AC10" s="12">
        <f t="shared" si="0"/>
        <v>12837.76</v>
      </c>
      <c r="AD10" s="20"/>
      <c r="AE10" s="12">
        <f t="shared" si="1"/>
        <v>7098.325</v>
      </c>
      <c r="AF10" s="2"/>
      <c r="AG10" s="12">
        <f t="shared" si="6"/>
        <v>7471.921052631579</v>
      </c>
      <c r="AH10" s="60"/>
      <c r="AI10" s="94"/>
      <c r="AJ10" s="94"/>
      <c r="AM10" s="222" t="s">
        <v>101</v>
      </c>
      <c r="AN10" s="223"/>
      <c r="AO10" s="16"/>
      <c r="AP10" s="224">
        <f>Q10</f>
        <v>546.025</v>
      </c>
      <c r="AQ10" s="225"/>
      <c r="AS10" s="224">
        <f aca="true" t="shared" si="8" ref="AS10:AS16">V10</f>
        <v>574.7631578947369</v>
      </c>
      <c r="AT10" s="225"/>
      <c r="AU10" s="102" t="s">
        <v>14</v>
      </c>
      <c r="AV10" s="20"/>
      <c r="AW10" s="12">
        <f t="shared" si="4"/>
        <v>7098.325</v>
      </c>
      <c r="AX10" s="2"/>
      <c r="AY10" s="12">
        <f t="shared" si="7"/>
        <v>7471.921052631579</v>
      </c>
    </row>
    <row r="11" spans="1:51" ht="15" customHeight="1">
      <c r="A11" s="83" t="s">
        <v>52</v>
      </c>
      <c r="B11" s="87">
        <v>578.33</v>
      </c>
      <c r="E11" s="224">
        <v>730.58</v>
      </c>
      <c r="F11" s="225"/>
      <c r="K11" s="222" t="s">
        <v>97</v>
      </c>
      <c r="L11" s="223"/>
      <c r="M11" s="16"/>
      <c r="N11" s="224">
        <v>766.95</v>
      </c>
      <c r="O11" s="225"/>
      <c r="P11" s="16"/>
      <c r="Q11" s="224">
        <f>848.14/2</f>
        <v>424.07</v>
      </c>
      <c r="R11" s="225"/>
      <c r="V11" s="224">
        <f>Q11</f>
        <v>424.07</v>
      </c>
      <c r="W11" s="225"/>
      <c r="X11" s="49"/>
      <c r="Y11" s="39">
        <f t="shared" si="5"/>
        <v>0</v>
      </c>
      <c r="Z11" s="39">
        <f aca="true" t="shared" si="9" ref="Z11:Z17">V11-N11</f>
        <v>-342.88000000000005</v>
      </c>
      <c r="AA11" s="35"/>
      <c r="AB11" s="20"/>
      <c r="AC11" s="12">
        <f t="shared" si="0"/>
        <v>9970.35</v>
      </c>
      <c r="AD11" s="20"/>
      <c r="AE11" s="12">
        <f t="shared" si="1"/>
        <v>5512.91</v>
      </c>
      <c r="AF11" s="2"/>
      <c r="AG11" s="12">
        <f t="shared" si="6"/>
        <v>5512.91</v>
      </c>
      <c r="AH11" s="60"/>
      <c r="AI11" s="8">
        <f>AG11-AE11</f>
        <v>0</v>
      </c>
      <c r="AJ11" s="8">
        <f t="shared" si="3"/>
        <v>-4457.4400000000005</v>
      </c>
      <c r="AM11" s="222" t="s">
        <v>24</v>
      </c>
      <c r="AN11" s="223"/>
      <c r="AO11" s="16"/>
      <c r="AP11" s="224">
        <f>Q11</f>
        <v>424.07</v>
      </c>
      <c r="AQ11" s="225"/>
      <c r="AS11" s="224">
        <f t="shared" si="8"/>
        <v>424.07</v>
      </c>
      <c r="AT11" s="225"/>
      <c r="AU11" s="35"/>
      <c r="AV11" s="20"/>
      <c r="AW11" s="12">
        <f t="shared" si="4"/>
        <v>5512.91</v>
      </c>
      <c r="AX11" s="2"/>
      <c r="AY11" s="12">
        <f t="shared" si="7"/>
        <v>5512.91</v>
      </c>
    </row>
    <row r="12" spans="1:51" ht="15" customHeight="1">
      <c r="A12" s="83" t="s">
        <v>48</v>
      </c>
      <c r="B12" s="87">
        <v>72.25</v>
      </c>
      <c r="E12" s="224">
        <v>681.57</v>
      </c>
      <c r="F12" s="225"/>
      <c r="K12" s="222" t="s">
        <v>98</v>
      </c>
      <c r="L12" s="223"/>
      <c r="M12" s="16"/>
      <c r="N12" s="224">
        <v>763.2</v>
      </c>
      <c r="O12" s="225"/>
      <c r="P12" s="16"/>
      <c r="Q12" s="224">
        <f>10127.87/12/2</f>
        <v>421.99458333333337</v>
      </c>
      <c r="R12" s="225"/>
      <c r="V12" s="224">
        <f>10127.87/12/2</f>
        <v>421.99458333333337</v>
      </c>
      <c r="W12" s="225"/>
      <c r="X12" s="48"/>
      <c r="Y12" s="39">
        <f t="shared" si="5"/>
        <v>0</v>
      </c>
      <c r="Z12" s="39">
        <f t="shared" si="9"/>
        <v>-341.2054166666667</v>
      </c>
      <c r="AA12" s="35"/>
      <c r="AB12" s="20"/>
      <c r="AC12" s="12">
        <f t="shared" si="0"/>
        <v>9921.6</v>
      </c>
      <c r="AD12" s="20"/>
      <c r="AE12" s="12">
        <f>Q12*13</f>
        <v>5485.9295833333335</v>
      </c>
      <c r="AF12" s="2"/>
      <c r="AG12" s="12">
        <f>V12*13</f>
        <v>5485.9295833333335</v>
      </c>
      <c r="AH12" s="60"/>
      <c r="AI12" s="8">
        <f t="shared" si="2"/>
        <v>0</v>
      </c>
      <c r="AJ12" s="8">
        <f t="shared" si="3"/>
        <v>-4435.670416666667</v>
      </c>
      <c r="AM12" s="222" t="s">
        <v>25</v>
      </c>
      <c r="AN12" s="223"/>
      <c r="AO12" s="16"/>
      <c r="AP12" s="224">
        <f>Q12</f>
        <v>421.99458333333337</v>
      </c>
      <c r="AQ12" s="225"/>
      <c r="AS12" s="224">
        <f t="shared" si="8"/>
        <v>421.99458333333337</v>
      </c>
      <c r="AT12" s="225"/>
      <c r="AU12" s="35"/>
      <c r="AV12" s="20"/>
      <c r="AW12" s="12">
        <f t="shared" si="4"/>
        <v>5485.9295833333335</v>
      </c>
      <c r="AX12" s="2"/>
      <c r="AY12" s="12">
        <f t="shared" si="7"/>
        <v>5485.9295833333335</v>
      </c>
    </row>
    <row r="13" spans="1:51" ht="15" customHeight="1">
      <c r="A13" s="83" t="s">
        <v>49</v>
      </c>
      <c r="B13" s="87">
        <v>658.19</v>
      </c>
      <c r="E13" s="224">
        <f>B17</f>
        <v>1097.83</v>
      </c>
      <c r="F13" s="225"/>
      <c r="K13" s="222" t="s">
        <v>21</v>
      </c>
      <c r="L13" s="223"/>
      <c r="M13" s="16"/>
      <c r="N13" s="224">
        <f>B17*101.2%*102%*101.7%</f>
        <v>1152.4888478664002</v>
      </c>
      <c r="O13" s="225"/>
      <c r="P13" s="16"/>
      <c r="Q13" s="224">
        <f>N13*102.1%*102%*102.3%*103.8%/2</f>
        <v>637.2438268158445</v>
      </c>
      <c r="R13" s="225"/>
      <c r="V13" s="224">
        <f>Q13</f>
        <v>637.2438268158445</v>
      </c>
      <c r="W13" s="225"/>
      <c r="X13" s="49"/>
      <c r="Y13" s="39">
        <f t="shared" si="5"/>
        <v>0</v>
      </c>
      <c r="Z13" s="39">
        <f t="shared" si="9"/>
        <v>-515.2450210505557</v>
      </c>
      <c r="AA13" s="35"/>
      <c r="AB13" s="20"/>
      <c r="AC13" s="12">
        <f t="shared" si="0"/>
        <v>14982.355022263202</v>
      </c>
      <c r="AD13" s="20"/>
      <c r="AE13" s="12">
        <f t="shared" si="1"/>
        <v>8284.169748605978</v>
      </c>
      <c r="AF13" s="2"/>
      <c r="AG13" s="12">
        <f t="shared" si="6"/>
        <v>8284.169748605978</v>
      </c>
      <c r="AH13" s="60"/>
      <c r="AI13" s="8">
        <f t="shared" si="2"/>
        <v>0</v>
      </c>
      <c r="AJ13" s="8">
        <f t="shared" si="3"/>
        <v>-6698.185273657224</v>
      </c>
      <c r="AM13" s="222" t="s">
        <v>26</v>
      </c>
      <c r="AN13" s="223"/>
      <c r="AO13" s="16"/>
      <c r="AP13" s="224">
        <f>Q13</f>
        <v>637.2438268158445</v>
      </c>
      <c r="AQ13" s="225"/>
      <c r="AS13" s="224">
        <f t="shared" si="8"/>
        <v>637.2438268158445</v>
      </c>
      <c r="AT13" s="225"/>
      <c r="AU13" s="35"/>
      <c r="AV13" s="20"/>
      <c r="AW13" s="12">
        <f t="shared" si="4"/>
        <v>8284.169748605978</v>
      </c>
      <c r="AX13" s="2"/>
      <c r="AY13" s="12">
        <f t="shared" si="7"/>
        <v>8284.169748605978</v>
      </c>
    </row>
    <row r="14" spans="1:51" ht="15" customHeight="1">
      <c r="A14" s="80" t="s">
        <v>56</v>
      </c>
      <c r="B14" s="84">
        <f>B12+B13</f>
        <v>730.44</v>
      </c>
      <c r="E14" s="214"/>
      <c r="F14" s="215"/>
      <c r="J14" s="88" t="s">
        <v>125</v>
      </c>
      <c r="K14" s="222" t="s">
        <v>85</v>
      </c>
      <c r="L14" s="223"/>
      <c r="M14" s="16"/>
      <c r="N14" s="214"/>
      <c r="O14" s="215"/>
      <c r="P14" s="16"/>
      <c r="Q14" s="214"/>
      <c r="R14" s="215"/>
      <c r="V14" s="204">
        <f>(136*2*4.345)/13*12/2</f>
        <v>545.4646153846153</v>
      </c>
      <c r="W14" s="204"/>
      <c r="X14" s="73"/>
      <c r="Y14" s="39">
        <f t="shared" si="5"/>
        <v>545.4646153846153</v>
      </c>
      <c r="Z14" s="39">
        <f t="shared" si="9"/>
        <v>545.4646153846153</v>
      </c>
      <c r="AA14" s="35"/>
      <c r="AB14" s="20"/>
      <c r="AC14" s="12"/>
      <c r="AD14" s="20"/>
      <c r="AE14" s="31"/>
      <c r="AF14" s="2"/>
      <c r="AG14" s="12">
        <f t="shared" si="6"/>
        <v>7091.039999999999</v>
      </c>
      <c r="AH14" s="60"/>
      <c r="AI14" s="8">
        <f>AG14-AE14</f>
        <v>7091.039999999999</v>
      </c>
      <c r="AJ14" s="8">
        <f t="shared" si="3"/>
        <v>7091.039999999999</v>
      </c>
      <c r="AL14" s="88" t="s">
        <v>126</v>
      </c>
      <c r="AM14" s="222" t="s">
        <v>27</v>
      </c>
      <c r="AN14" s="223"/>
      <c r="AO14" s="16"/>
      <c r="AP14" s="214"/>
      <c r="AQ14" s="215"/>
      <c r="AS14" s="224">
        <f t="shared" si="8"/>
        <v>545.4646153846153</v>
      </c>
      <c r="AT14" s="225"/>
      <c r="AU14" s="35"/>
      <c r="AV14" s="20"/>
      <c r="AW14" s="31"/>
      <c r="AX14" s="2"/>
      <c r="AY14" s="12">
        <f t="shared" si="7"/>
        <v>7091.039999999999</v>
      </c>
    </row>
    <row r="15" spans="1:51" ht="15" customHeight="1">
      <c r="A15" s="80" t="s">
        <v>53</v>
      </c>
      <c r="B15" s="84">
        <v>69.17</v>
      </c>
      <c r="E15" s="214"/>
      <c r="F15" s="215"/>
      <c r="J15" s="88" t="s">
        <v>116</v>
      </c>
      <c r="K15" s="222" t="s">
        <v>41</v>
      </c>
      <c r="L15" s="223"/>
      <c r="M15" s="16"/>
      <c r="N15" s="214"/>
      <c r="O15" s="215"/>
      <c r="P15" s="16"/>
      <c r="Q15" s="214"/>
      <c r="R15" s="215"/>
      <c r="V15" s="224">
        <f>12394.97/13</f>
        <v>953.4592307692308</v>
      </c>
      <c r="W15" s="225"/>
      <c r="X15" s="73"/>
      <c r="Y15" s="39">
        <f t="shared" si="5"/>
        <v>953.4592307692308</v>
      </c>
      <c r="Z15" s="39">
        <f t="shared" si="9"/>
        <v>953.4592307692308</v>
      </c>
      <c r="AA15" s="35"/>
      <c r="AB15" s="20"/>
      <c r="AC15" s="12"/>
      <c r="AD15" s="20"/>
      <c r="AE15" s="31"/>
      <c r="AF15" s="2"/>
      <c r="AG15" s="12">
        <f t="shared" si="6"/>
        <v>12394.97</v>
      </c>
      <c r="AH15" s="60"/>
      <c r="AI15" s="8">
        <f>AG15-AE15</f>
        <v>12394.97</v>
      </c>
      <c r="AJ15" s="97">
        <f t="shared" si="3"/>
        <v>12394.97</v>
      </c>
      <c r="AL15" s="88" t="s">
        <v>117</v>
      </c>
      <c r="AM15" s="222" t="s">
        <v>44</v>
      </c>
      <c r="AN15" s="223"/>
      <c r="AO15" s="16"/>
      <c r="AP15" s="214"/>
      <c r="AQ15" s="215"/>
      <c r="AS15" s="224">
        <f t="shared" si="8"/>
        <v>953.4592307692308</v>
      </c>
      <c r="AT15" s="225"/>
      <c r="AU15" s="35"/>
      <c r="AV15" s="20"/>
      <c r="AW15" s="31"/>
      <c r="AX15" s="2"/>
      <c r="AY15" s="12">
        <f t="shared" si="7"/>
        <v>12394.97</v>
      </c>
    </row>
    <row r="16" spans="1:51" ht="15" customHeight="1" thickBot="1">
      <c r="A16" s="80" t="s">
        <v>54</v>
      </c>
      <c r="B16" s="84">
        <v>142.57</v>
      </c>
      <c r="E16" s="214"/>
      <c r="F16" s="215"/>
      <c r="J16" s="88"/>
      <c r="K16" s="222" t="s">
        <v>108</v>
      </c>
      <c r="L16" s="223"/>
      <c r="M16" s="16"/>
      <c r="N16" s="214"/>
      <c r="O16" s="215"/>
      <c r="P16" s="16"/>
      <c r="Q16" s="214"/>
      <c r="R16" s="215"/>
      <c r="T16" s="41" t="s">
        <v>20</v>
      </c>
      <c r="U16" s="1">
        <f>((Q24+Q28+Q30)-((Y15/2)+Y9+Y10+Y11+Y12+Y13+Y14))-((((Y15/2)+Y9+Y10+Y11+Y12+Y14)/13)+(((Q24+Q28+Q30)-((Y15/2)+Y9+Y10+Y11+Y12+Y14))/13))</f>
        <v>-1110.9123886639677</v>
      </c>
      <c r="V16" s="224">
        <f>IF(U16&gt;0,U16,0)</f>
        <v>0</v>
      </c>
      <c r="W16" s="225"/>
      <c r="X16" s="73"/>
      <c r="Y16" s="39">
        <f>V16</f>
        <v>0</v>
      </c>
      <c r="Z16" s="20"/>
      <c r="AA16" s="35"/>
      <c r="AB16" s="20"/>
      <c r="AC16" s="12"/>
      <c r="AD16" s="20"/>
      <c r="AE16" s="31"/>
      <c r="AF16" s="2"/>
      <c r="AG16" s="12">
        <f t="shared" si="6"/>
        <v>0</v>
      </c>
      <c r="AH16" s="60"/>
      <c r="AI16" s="8">
        <f>AG16-AE16</f>
        <v>0</v>
      </c>
      <c r="AJ16" s="43">
        <f t="shared" si="3"/>
        <v>0</v>
      </c>
      <c r="AL16" s="88"/>
      <c r="AM16" s="222" t="s">
        <v>84</v>
      </c>
      <c r="AN16" s="223"/>
      <c r="AO16" s="16"/>
      <c r="AP16" s="214"/>
      <c r="AQ16" s="215"/>
      <c r="AS16" s="224">
        <f t="shared" si="8"/>
        <v>0</v>
      </c>
      <c r="AT16" s="225"/>
      <c r="AU16" s="35"/>
      <c r="AV16" s="20"/>
      <c r="AW16" s="31"/>
      <c r="AX16" s="2"/>
      <c r="AY16" s="12">
        <f t="shared" si="7"/>
        <v>0</v>
      </c>
    </row>
    <row r="17" spans="1:51" ht="28.5" customHeight="1" thickBot="1">
      <c r="A17" s="80" t="s">
        <v>55</v>
      </c>
      <c r="B17" s="84">
        <v>1097.83</v>
      </c>
      <c r="E17" s="227">
        <f>F18</f>
        <v>0</v>
      </c>
      <c r="F17" s="228"/>
      <c r="K17" s="209" t="s">
        <v>4</v>
      </c>
      <c r="L17" s="210"/>
      <c r="M17" s="14"/>
      <c r="N17" s="227">
        <f>O18</f>
        <v>0</v>
      </c>
      <c r="O17" s="228"/>
      <c r="P17" s="14"/>
      <c r="Q17" s="227">
        <f>R18</f>
        <v>0</v>
      </c>
      <c r="R17" s="228"/>
      <c r="T17" s="3"/>
      <c r="U17" s="6"/>
      <c r="V17" s="227">
        <f>W18</f>
        <v>0</v>
      </c>
      <c r="W17" s="228"/>
      <c r="X17" s="50"/>
      <c r="Y17" s="28">
        <f>V17-Q17</f>
        <v>0</v>
      </c>
      <c r="Z17" s="28">
        <f t="shared" si="9"/>
        <v>0</v>
      </c>
      <c r="AA17" s="34"/>
      <c r="AB17" s="21">
        <v>13</v>
      </c>
      <c r="AC17" s="26">
        <f>N17*13</f>
        <v>0</v>
      </c>
      <c r="AD17" s="21"/>
      <c r="AE17" s="26">
        <f>Q17*13</f>
        <v>0</v>
      </c>
      <c r="AF17" s="15"/>
      <c r="AG17" s="26">
        <f t="shared" si="6"/>
        <v>0</v>
      </c>
      <c r="AH17" s="19"/>
      <c r="AI17" s="28">
        <f t="shared" si="2"/>
        <v>0</v>
      </c>
      <c r="AJ17" s="28">
        <v>0</v>
      </c>
      <c r="AM17" s="209" t="s">
        <v>29</v>
      </c>
      <c r="AN17" s="210"/>
      <c r="AO17" s="14"/>
      <c r="AP17" s="227">
        <f>AQ18</f>
        <v>0</v>
      </c>
      <c r="AQ17" s="228"/>
      <c r="AS17" s="227">
        <f>AT18</f>
        <v>0</v>
      </c>
      <c r="AT17" s="228"/>
      <c r="AU17" s="34"/>
      <c r="AV17" s="21">
        <v>13</v>
      </c>
      <c r="AW17" s="26">
        <f>AP17*13</f>
        <v>0</v>
      </c>
      <c r="AX17" s="15"/>
      <c r="AY17" s="26">
        <f t="shared" si="7"/>
        <v>0</v>
      </c>
    </row>
    <row r="18" spans="1:51" ht="15" customHeight="1">
      <c r="A18" s="81" t="s">
        <v>50</v>
      </c>
      <c r="B18" s="84">
        <f>((B9+B14+B15+B16+B17)-B12-B11-B15)*100%</f>
        <v>3550.96</v>
      </c>
      <c r="E18" s="9"/>
      <c r="F18" s="5"/>
      <c r="K18" s="222" t="s">
        <v>5</v>
      </c>
      <c r="L18" s="223"/>
      <c r="M18" s="16"/>
      <c r="N18" s="9"/>
      <c r="O18" s="5"/>
      <c r="P18" s="16"/>
      <c r="Q18" s="9"/>
      <c r="R18" s="5"/>
      <c r="V18" s="9"/>
      <c r="W18" s="5"/>
      <c r="X18" s="65"/>
      <c r="Y18" s="10"/>
      <c r="Z18" s="10"/>
      <c r="AA18" s="36"/>
      <c r="AC18" s="12"/>
      <c r="AE18" s="12"/>
      <c r="AF18" s="2"/>
      <c r="AG18" s="12"/>
      <c r="AH18" s="60"/>
      <c r="AI18" s="10"/>
      <c r="AJ18" s="10"/>
      <c r="AM18" s="222" t="s">
        <v>30</v>
      </c>
      <c r="AN18" s="223"/>
      <c r="AO18" s="16"/>
      <c r="AP18" s="9"/>
      <c r="AQ18" s="5"/>
      <c r="AS18" s="9"/>
      <c r="AT18" s="5"/>
      <c r="AU18" s="36"/>
      <c r="AV18" s="2"/>
      <c r="AW18" s="12"/>
      <c r="AX18" s="2"/>
      <c r="AY18" s="12"/>
    </row>
    <row r="19" spans="1:51" ht="15" customHeight="1">
      <c r="A19" s="82" t="s">
        <v>51</v>
      </c>
      <c r="B19" s="85">
        <f>B18+B17+B16+B15+B14+B9</f>
        <v>7821.669999999999</v>
      </c>
      <c r="E19" s="4"/>
      <c r="F19" s="5"/>
      <c r="K19" s="222" t="s">
        <v>92</v>
      </c>
      <c r="L19" s="223"/>
      <c r="M19" s="16"/>
      <c r="N19" s="4"/>
      <c r="O19" s="5"/>
      <c r="P19" s="16"/>
      <c r="Q19" s="4"/>
      <c r="R19" s="5"/>
      <c r="V19" s="4"/>
      <c r="W19" s="5"/>
      <c r="Y19" s="10"/>
      <c r="Z19" s="10"/>
      <c r="AA19" s="36"/>
      <c r="AB19" s="62"/>
      <c r="AC19" s="12"/>
      <c r="AD19" s="62"/>
      <c r="AE19" s="12"/>
      <c r="AF19" s="2"/>
      <c r="AG19" s="12"/>
      <c r="AH19" s="60"/>
      <c r="AI19" s="10"/>
      <c r="AJ19" s="10"/>
      <c r="AM19" s="222" t="s">
        <v>91</v>
      </c>
      <c r="AN19" s="223"/>
      <c r="AO19" s="16"/>
      <c r="AP19" s="4"/>
      <c r="AQ19" s="5"/>
      <c r="AS19" s="4"/>
      <c r="AT19" s="5"/>
      <c r="AU19" s="36"/>
      <c r="AV19" s="62"/>
      <c r="AW19" s="12"/>
      <c r="AX19" s="2"/>
      <c r="AY19" s="12"/>
    </row>
    <row r="20" spans="5:51" ht="15" customHeight="1" thickBot="1">
      <c r="E20" s="4"/>
      <c r="F20" s="5"/>
      <c r="K20" s="222" t="s">
        <v>6</v>
      </c>
      <c r="L20" s="223"/>
      <c r="M20" s="16"/>
      <c r="N20" s="4"/>
      <c r="O20" s="5"/>
      <c r="P20" s="16"/>
      <c r="Q20" s="4"/>
      <c r="R20" s="5"/>
      <c r="V20" s="4"/>
      <c r="W20" s="5"/>
      <c r="X20" s="70"/>
      <c r="Y20" s="10"/>
      <c r="Z20" s="10"/>
      <c r="AA20" s="36"/>
      <c r="AC20" s="12"/>
      <c r="AE20" s="12"/>
      <c r="AF20" s="2"/>
      <c r="AG20" s="12"/>
      <c r="AH20" s="60"/>
      <c r="AI20" s="10"/>
      <c r="AJ20" s="10"/>
      <c r="AM20" s="222" t="s">
        <v>31</v>
      </c>
      <c r="AN20" s="223"/>
      <c r="AO20" s="16"/>
      <c r="AP20" s="4"/>
      <c r="AQ20" s="5"/>
      <c r="AS20" s="4"/>
      <c r="AT20" s="5"/>
      <c r="AU20" s="36"/>
      <c r="AV20" s="2"/>
      <c r="AW20" s="12"/>
      <c r="AX20" s="2"/>
      <c r="AY20" s="12"/>
    </row>
    <row r="21" spans="5:51" ht="15" customHeight="1" hidden="1" outlineLevel="1" thickBot="1">
      <c r="E21" s="5"/>
      <c r="F21" s="5"/>
      <c r="K21" s="222" t="s">
        <v>66</v>
      </c>
      <c r="L21" s="223"/>
      <c r="M21" s="16"/>
      <c r="N21" s="5"/>
      <c r="O21" s="5"/>
      <c r="P21" s="16"/>
      <c r="Q21" s="5"/>
      <c r="R21" s="5"/>
      <c r="V21" s="5"/>
      <c r="W21" s="5"/>
      <c r="Y21" s="10"/>
      <c r="Z21" s="10"/>
      <c r="AA21" s="36"/>
      <c r="AC21" s="12"/>
      <c r="AE21" s="12"/>
      <c r="AF21" s="2"/>
      <c r="AG21" s="12"/>
      <c r="AH21" s="60"/>
      <c r="AI21" s="10"/>
      <c r="AJ21" s="10"/>
      <c r="AM21" s="222" t="s">
        <v>32</v>
      </c>
      <c r="AN21" s="223"/>
      <c r="AO21" s="16"/>
      <c r="AP21" s="5"/>
      <c r="AQ21" s="5"/>
      <c r="AS21" s="5"/>
      <c r="AT21" s="5"/>
      <c r="AU21" s="36"/>
      <c r="AV21" s="2"/>
      <c r="AW21" s="12"/>
      <c r="AX21" s="2"/>
      <c r="AY21" s="12"/>
    </row>
    <row r="22" spans="5:51" ht="28.5" customHeight="1" collapsed="1" thickBot="1">
      <c r="E22" s="227">
        <f>E24+E25</f>
        <v>2187.696</v>
      </c>
      <c r="F22" s="228"/>
      <c r="K22" s="209" t="s">
        <v>7</v>
      </c>
      <c r="L22" s="210"/>
      <c r="M22" s="14"/>
      <c r="N22" s="227">
        <f>N24</f>
        <v>0</v>
      </c>
      <c r="O22" s="228"/>
      <c r="P22" s="14"/>
      <c r="Q22" s="227">
        <f>Q24</f>
        <v>0</v>
      </c>
      <c r="R22" s="228"/>
      <c r="S22" s="3"/>
      <c r="T22" s="3"/>
      <c r="U22" s="3"/>
      <c r="V22" s="227">
        <f>V23</f>
        <v>0</v>
      </c>
      <c r="W22" s="228"/>
      <c r="Y22" s="28">
        <f>V22-Q22</f>
        <v>0</v>
      </c>
      <c r="Z22" s="28">
        <f>V22-N22</f>
        <v>0</v>
      </c>
      <c r="AA22" s="34"/>
      <c r="AB22" s="21">
        <v>12</v>
      </c>
      <c r="AC22" s="26">
        <f>N22*12</f>
        <v>0</v>
      </c>
      <c r="AD22" s="21"/>
      <c r="AE22" s="26">
        <f>Q22*12</f>
        <v>0</v>
      </c>
      <c r="AF22" s="15"/>
      <c r="AG22" s="25">
        <f>V22*12</f>
        <v>0</v>
      </c>
      <c r="AH22" s="22"/>
      <c r="AI22" s="28">
        <f>AG22-AE22</f>
        <v>0</v>
      </c>
      <c r="AJ22" s="28">
        <f>AG22-AC22</f>
        <v>0</v>
      </c>
      <c r="AM22" s="209" t="s">
        <v>33</v>
      </c>
      <c r="AN22" s="210"/>
      <c r="AO22" s="14"/>
      <c r="AP22" s="227">
        <f>AP24</f>
        <v>0</v>
      </c>
      <c r="AQ22" s="228"/>
      <c r="AR22" s="3"/>
      <c r="AS22" s="227">
        <f>AS23</f>
        <v>0</v>
      </c>
      <c r="AT22" s="228"/>
      <c r="AU22" s="34"/>
      <c r="AV22" s="21">
        <v>12</v>
      </c>
      <c r="AW22" s="26">
        <f>AP22*12</f>
        <v>0</v>
      </c>
      <c r="AX22" s="15"/>
      <c r="AY22" s="25">
        <f>AS22*12</f>
        <v>0</v>
      </c>
    </row>
    <row r="23" spans="5:51" ht="15" customHeight="1">
      <c r="E23" s="224">
        <v>0</v>
      </c>
      <c r="F23" s="225"/>
      <c r="K23" s="17" t="s">
        <v>90</v>
      </c>
      <c r="L23" s="7">
        <v>0</v>
      </c>
      <c r="M23" s="16"/>
      <c r="N23" s="224">
        <v>0</v>
      </c>
      <c r="O23" s="225"/>
      <c r="P23" s="16"/>
      <c r="Q23" s="224">
        <v>0</v>
      </c>
      <c r="R23" s="225"/>
      <c r="V23" s="224">
        <v>0</v>
      </c>
      <c r="W23" s="225"/>
      <c r="AA23" s="63"/>
      <c r="AC23" s="12">
        <v>0</v>
      </c>
      <c r="AE23" s="12">
        <v>0</v>
      </c>
      <c r="AF23" s="2"/>
      <c r="AG23" s="12">
        <v>0</v>
      </c>
      <c r="AH23" s="22"/>
      <c r="AI23" s="2"/>
      <c r="AJ23" s="2"/>
      <c r="AM23" s="17" t="s">
        <v>89</v>
      </c>
      <c r="AN23" s="7">
        <v>0</v>
      </c>
      <c r="AO23" s="16"/>
      <c r="AP23" s="224">
        <f>Q23</f>
        <v>0</v>
      </c>
      <c r="AQ23" s="225"/>
      <c r="AS23" s="224">
        <v>0</v>
      </c>
      <c r="AT23" s="225"/>
      <c r="AU23" s="63"/>
      <c r="AV23" s="2"/>
      <c r="AW23" s="12">
        <v>0</v>
      </c>
      <c r="AX23" s="2"/>
      <c r="AY23" s="12">
        <v>0</v>
      </c>
    </row>
    <row r="24" spans="4:51" ht="15" customHeight="1">
      <c r="D24" s="88" t="s">
        <v>58</v>
      </c>
      <c r="E24" s="224">
        <f>136*3*4.345</f>
        <v>1772.76</v>
      </c>
      <c r="F24" s="225"/>
      <c r="K24" s="17" t="s">
        <v>15</v>
      </c>
      <c r="L24" s="11"/>
      <c r="M24" s="16"/>
      <c r="N24" s="224">
        <f>136*L24*4.345</f>
        <v>0</v>
      </c>
      <c r="O24" s="225"/>
      <c r="P24" s="16"/>
      <c r="Q24" s="214"/>
      <c r="R24" s="215"/>
      <c r="V24" s="214"/>
      <c r="W24" s="215"/>
      <c r="AA24" s="63"/>
      <c r="AC24" s="12">
        <f>N24*12</f>
        <v>0</v>
      </c>
      <c r="AE24" s="31"/>
      <c r="AF24" s="2"/>
      <c r="AG24" s="31"/>
      <c r="AH24" s="64"/>
      <c r="AI24" s="2"/>
      <c r="AJ24" s="2"/>
      <c r="AM24" s="17" t="s">
        <v>60</v>
      </c>
      <c r="AN24" s="11"/>
      <c r="AO24" s="16"/>
      <c r="AP24" s="214"/>
      <c r="AQ24" s="215"/>
      <c r="AS24" s="214"/>
      <c r="AT24" s="215"/>
      <c r="AU24" s="63"/>
      <c r="AV24" s="2"/>
      <c r="AW24" s="31"/>
      <c r="AX24" s="2"/>
      <c r="AY24" s="31"/>
    </row>
    <row r="25" spans="5:51" ht="15" customHeight="1" thickBot="1">
      <c r="E25" s="224">
        <f>(E8+E17)*8%</f>
        <v>414.936</v>
      </c>
      <c r="F25" s="225"/>
      <c r="K25" s="17" t="s">
        <v>99</v>
      </c>
      <c r="L25" s="7"/>
      <c r="M25" s="16"/>
      <c r="N25" s="214"/>
      <c r="O25" s="215"/>
      <c r="P25" s="16"/>
      <c r="Q25" s="214"/>
      <c r="R25" s="215"/>
      <c r="V25" s="214"/>
      <c r="W25" s="215"/>
      <c r="X25" s="44"/>
      <c r="Y25" s="23"/>
      <c r="Z25" s="23"/>
      <c r="AA25" s="24"/>
      <c r="AB25" s="24"/>
      <c r="AC25" s="31"/>
      <c r="AD25" s="24"/>
      <c r="AE25" s="31"/>
      <c r="AF25" s="2"/>
      <c r="AG25" s="31"/>
      <c r="AH25" s="22"/>
      <c r="AI25" s="23"/>
      <c r="AJ25" s="23"/>
      <c r="AM25" s="17" t="s">
        <v>34</v>
      </c>
      <c r="AN25" s="7"/>
      <c r="AO25" s="16"/>
      <c r="AP25" s="214"/>
      <c r="AQ25" s="215"/>
      <c r="AS25" s="214"/>
      <c r="AT25" s="215"/>
      <c r="AU25" s="24"/>
      <c r="AV25" s="24"/>
      <c r="AW25" s="31"/>
      <c r="AX25" s="2"/>
      <c r="AY25" s="31"/>
    </row>
    <row r="26" spans="5:51" ht="23.25" customHeight="1" hidden="1" outlineLevel="1">
      <c r="E26" s="205">
        <f>E28</f>
        <v>590.92</v>
      </c>
      <c r="F26" s="206"/>
      <c r="K26" s="209" t="s">
        <v>16</v>
      </c>
      <c r="L26" s="210"/>
      <c r="M26" s="16"/>
      <c r="N26" s="205">
        <f>N28+N30</f>
        <v>0</v>
      </c>
      <c r="O26" s="206"/>
      <c r="P26" s="16"/>
      <c r="Q26" s="205">
        <f>Q28+Q30</f>
        <v>0</v>
      </c>
      <c r="R26" s="206"/>
      <c r="V26" s="205"/>
      <c r="W26" s="206"/>
      <c r="AA26" s="63"/>
      <c r="AB26" s="21">
        <v>12</v>
      </c>
      <c r="AC26" s="26">
        <f>N26*12</f>
        <v>0</v>
      </c>
      <c r="AD26" s="21"/>
      <c r="AE26" s="26">
        <f>AE28</f>
        <v>0</v>
      </c>
      <c r="AF26" s="15"/>
      <c r="AG26" s="26"/>
      <c r="AH26" s="19"/>
      <c r="AI26" s="2"/>
      <c r="AJ26" s="2"/>
      <c r="AM26" s="209" t="s">
        <v>35</v>
      </c>
      <c r="AN26" s="210"/>
      <c r="AO26" s="16"/>
      <c r="AP26" s="205">
        <f>AP28+AP30</f>
        <v>0</v>
      </c>
      <c r="AQ26" s="206"/>
      <c r="AS26" s="205"/>
      <c r="AT26" s="206"/>
      <c r="AU26" s="63"/>
      <c r="AV26" s="21">
        <v>12</v>
      </c>
      <c r="AW26" s="26">
        <f>AW28</f>
        <v>0</v>
      </c>
      <c r="AX26" s="15"/>
      <c r="AY26" s="26"/>
    </row>
    <row r="27" spans="5:51" ht="15" customHeight="1" hidden="1" outlineLevel="1">
      <c r="E27" s="214"/>
      <c r="F27" s="215"/>
      <c r="K27" s="222" t="s">
        <v>10</v>
      </c>
      <c r="L27" s="223"/>
      <c r="M27" s="18"/>
      <c r="N27" s="214"/>
      <c r="O27" s="215"/>
      <c r="P27" s="18"/>
      <c r="Q27" s="214"/>
      <c r="R27" s="215"/>
      <c r="V27" s="214"/>
      <c r="W27" s="215"/>
      <c r="AA27" s="63"/>
      <c r="AB27" s="21"/>
      <c r="AC27" s="31"/>
      <c r="AD27" s="21"/>
      <c r="AE27" s="31"/>
      <c r="AF27" s="2"/>
      <c r="AG27" s="31"/>
      <c r="AH27" s="68"/>
      <c r="AI27" s="2"/>
      <c r="AJ27" s="2"/>
      <c r="AM27" s="222" t="s">
        <v>40</v>
      </c>
      <c r="AN27" s="223"/>
      <c r="AO27" s="16"/>
      <c r="AP27" s="214"/>
      <c r="AQ27" s="215"/>
      <c r="AS27" s="214"/>
      <c r="AT27" s="215"/>
      <c r="AU27" s="63"/>
      <c r="AV27" s="21"/>
      <c r="AW27" s="31"/>
      <c r="AX27" s="2"/>
      <c r="AY27" s="31"/>
    </row>
    <row r="28" spans="5:51" ht="15" customHeight="1" hidden="1" outlineLevel="1">
      <c r="E28" s="204">
        <f>E24/3</f>
        <v>590.92</v>
      </c>
      <c r="F28" s="204"/>
      <c r="K28" s="222" t="s">
        <v>11</v>
      </c>
      <c r="L28" s="223"/>
      <c r="M28" s="18"/>
      <c r="N28" s="204">
        <f>N24/3</f>
        <v>0</v>
      </c>
      <c r="O28" s="204"/>
      <c r="P28" s="18"/>
      <c r="Q28" s="204">
        <f>Q24/3</f>
        <v>0</v>
      </c>
      <c r="R28" s="204"/>
      <c r="V28" s="214"/>
      <c r="W28" s="215"/>
      <c r="AA28" s="63"/>
      <c r="AC28" s="12">
        <f>N28*12</f>
        <v>0</v>
      </c>
      <c r="AE28" s="12">
        <f>Q28*12</f>
        <v>0</v>
      </c>
      <c r="AF28" s="2"/>
      <c r="AG28" s="31"/>
      <c r="AH28" s="68"/>
      <c r="AI28" s="2"/>
      <c r="AJ28" s="2"/>
      <c r="AM28" s="222" t="s">
        <v>36</v>
      </c>
      <c r="AN28" s="223"/>
      <c r="AO28" s="16"/>
      <c r="AP28" s="224">
        <f>Q28</f>
        <v>0</v>
      </c>
      <c r="AQ28" s="225"/>
      <c r="AS28" s="214"/>
      <c r="AT28" s="215"/>
      <c r="AU28" s="63"/>
      <c r="AV28" s="2"/>
      <c r="AW28" s="12">
        <f>AP28*12</f>
        <v>0</v>
      </c>
      <c r="AX28" s="2"/>
      <c r="AY28" s="31"/>
    </row>
    <row r="29" spans="5:51" ht="15" customHeight="1" hidden="1" outlineLevel="1">
      <c r="E29" s="214"/>
      <c r="F29" s="215"/>
      <c r="K29" s="222" t="s">
        <v>12</v>
      </c>
      <c r="L29" s="223"/>
      <c r="M29" s="18"/>
      <c r="N29" s="214"/>
      <c r="O29" s="215"/>
      <c r="P29" s="18"/>
      <c r="Q29" s="214"/>
      <c r="R29" s="215"/>
      <c r="V29" s="214"/>
      <c r="W29" s="215"/>
      <c r="AA29" s="63"/>
      <c r="AC29" s="31"/>
      <c r="AE29" s="31"/>
      <c r="AF29" s="2"/>
      <c r="AG29" s="31"/>
      <c r="AH29" s="68"/>
      <c r="AI29" s="2"/>
      <c r="AJ29" s="2"/>
      <c r="AM29" s="222" t="s">
        <v>37</v>
      </c>
      <c r="AN29" s="223"/>
      <c r="AO29" s="16"/>
      <c r="AP29" s="214"/>
      <c r="AQ29" s="215"/>
      <c r="AS29" s="214"/>
      <c r="AT29" s="215"/>
      <c r="AU29" s="63"/>
      <c r="AV29" s="2"/>
      <c r="AW29" s="31"/>
      <c r="AX29" s="2"/>
      <c r="AY29" s="31"/>
    </row>
    <row r="30" spans="5:51" ht="15" customHeight="1" hidden="1" outlineLevel="1" thickBot="1">
      <c r="E30" s="224"/>
      <c r="F30" s="225"/>
      <c r="K30" s="222" t="s">
        <v>13</v>
      </c>
      <c r="L30" s="223"/>
      <c r="M30" s="18"/>
      <c r="N30" s="224"/>
      <c r="O30" s="225"/>
      <c r="P30" s="18"/>
      <c r="Q30" s="224">
        <v>0</v>
      </c>
      <c r="R30" s="225"/>
      <c r="V30" s="214"/>
      <c r="W30" s="215"/>
      <c r="Y30" s="1"/>
      <c r="Z30" s="1"/>
      <c r="AA30" s="63"/>
      <c r="AC30" s="12">
        <f>N30*12</f>
        <v>0</v>
      </c>
      <c r="AE30" s="12">
        <f>Q30*12</f>
        <v>0</v>
      </c>
      <c r="AF30" s="2"/>
      <c r="AG30" s="31"/>
      <c r="AH30" s="68"/>
      <c r="AM30" s="222" t="s">
        <v>38</v>
      </c>
      <c r="AN30" s="223"/>
      <c r="AO30" s="16"/>
      <c r="AP30" s="224">
        <v>0</v>
      </c>
      <c r="AQ30" s="225"/>
      <c r="AS30" s="214"/>
      <c r="AT30" s="215"/>
      <c r="AU30" s="63"/>
      <c r="AV30" s="2"/>
      <c r="AW30" s="12">
        <f>AP30*12</f>
        <v>0</v>
      </c>
      <c r="AX30" s="2"/>
      <c r="AY30" s="31"/>
    </row>
    <row r="31" spans="4:51" ht="28.5" customHeight="1" collapsed="1" thickBot="1">
      <c r="D31" s="90" t="s">
        <v>72</v>
      </c>
      <c r="E31" s="217">
        <f>E8+E17+E22+E26</f>
        <v>7965.316</v>
      </c>
      <c r="F31" s="218"/>
      <c r="K31" s="207" t="s">
        <v>42</v>
      </c>
      <c r="L31" s="208"/>
      <c r="M31" s="18"/>
      <c r="N31" s="217">
        <f>N8+N17+N22+N26</f>
        <v>5731.2188478664</v>
      </c>
      <c r="O31" s="218"/>
      <c r="P31" s="18"/>
      <c r="Q31" s="217">
        <f>Q8+Q17+Q22+Q26</f>
        <v>3168.9534101491777</v>
      </c>
      <c r="R31" s="218"/>
      <c r="V31" s="217">
        <f>V8+V17+V22+V26</f>
        <v>4756.59541419776</v>
      </c>
      <c r="W31" s="218"/>
      <c r="X31" s="45"/>
      <c r="Y31" s="28">
        <f>V31-Q31</f>
        <v>1587.6420040485823</v>
      </c>
      <c r="Z31" s="28">
        <f>V31-N31</f>
        <v>-974.6234336686402</v>
      </c>
      <c r="AA31" s="34"/>
      <c r="AB31" s="13"/>
      <c r="AC31" s="37">
        <f>AC8+AC17+AC22+AC26</f>
        <v>74505.84502226321</v>
      </c>
      <c r="AD31" s="13"/>
      <c r="AE31" s="37">
        <f>AE8+AE17+AE22+AE26</f>
        <v>41196.39433193931</v>
      </c>
      <c r="AF31" s="15"/>
      <c r="AG31" s="37">
        <f>AG8+AG17+AG22+AG26</f>
        <v>61835.740384570876</v>
      </c>
      <c r="AH31" s="29"/>
      <c r="AI31" s="28">
        <f>AG31-AE31</f>
        <v>20639.34605263157</v>
      </c>
      <c r="AJ31" s="28">
        <f>AG31-AC31</f>
        <v>-12670.104637692333</v>
      </c>
      <c r="AK31" s="30"/>
      <c r="AL31" s="30"/>
      <c r="AM31" s="207" t="s">
        <v>43</v>
      </c>
      <c r="AN31" s="208"/>
      <c r="AO31" s="18"/>
      <c r="AP31" s="217">
        <f>AP8+AP17+AP22+AP26</f>
        <v>3168.9534101491777</v>
      </c>
      <c r="AQ31" s="218"/>
      <c r="AS31" s="217">
        <f>AS8+AS17+AS22+AS26</f>
        <v>4756.59541419776</v>
      </c>
      <c r="AT31" s="218"/>
      <c r="AU31" s="34"/>
      <c r="AV31" s="13"/>
      <c r="AW31" s="37">
        <f>AW8+AW17+AW22+AW26</f>
        <v>41196.39433193931</v>
      </c>
      <c r="AX31" s="15"/>
      <c r="AY31" s="37">
        <f>AY8+AY17+AY22+AY26</f>
        <v>61835.740384570876</v>
      </c>
    </row>
    <row r="32" spans="22:41" ht="12.75" customHeight="1">
      <c r="V32" s="1"/>
      <c r="W32" s="1"/>
      <c r="AA32" s="63"/>
      <c r="AC32" s="3"/>
      <c r="AM32" s="1"/>
      <c r="AN32" s="1"/>
      <c r="AO32" s="1"/>
    </row>
    <row r="33" spans="10:39" ht="12.75" customHeight="1">
      <c r="J33" s="88" t="s">
        <v>62</v>
      </c>
      <c r="K33" s="1" t="s">
        <v>181</v>
      </c>
      <c r="V33" s="1"/>
      <c r="W33" s="1"/>
      <c r="AA33" s="63"/>
      <c r="AL33" s="88" t="s">
        <v>62</v>
      </c>
      <c r="AM33" s="1" t="s">
        <v>223</v>
      </c>
    </row>
    <row r="34" spans="10:39" ht="12.75" customHeight="1">
      <c r="J34" s="88"/>
      <c r="V34" s="1"/>
      <c r="W34" s="1"/>
      <c r="AL34" s="88"/>
      <c r="AM34" s="1"/>
    </row>
    <row r="35" spans="10:39" ht="12.75" customHeight="1">
      <c r="J35" s="88" t="s">
        <v>63</v>
      </c>
      <c r="K35" s="1" t="s">
        <v>111</v>
      </c>
      <c r="AL35" s="88" t="s">
        <v>63</v>
      </c>
      <c r="AM35" s="1" t="s">
        <v>210</v>
      </c>
    </row>
    <row r="36" spans="10:39" ht="12.75" customHeight="1">
      <c r="J36" s="88"/>
      <c r="AL36" s="88"/>
      <c r="AM36" s="1"/>
    </row>
    <row r="37" spans="10:50" ht="12.75">
      <c r="J37" s="103"/>
      <c r="K37" s="2"/>
      <c r="AL37" s="103"/>
      <c r="AM37" s="2"/>
      <c r="AN37" s="104"/>
      <c r="AO37" s="104"/>
      <c r="AP37" s="2"/>
      <c r="AQ37" s="2"/>
      <c r="AR37" s="2"/>
      <c r="AS37" s="2"/>
      <c r="AT37" s="2"/>
      <c r="AU37" s="2"/>
      <c r="AV37" s="2"/>
      <c r="AW37" s="2"/>
      <c r="AX37" s="2"/>
    </row>
    <row r="38" spans="10:50" ht="12.75">
      <c r="J38" s="2"/>
      <c r="K38" s="62"/>
      <c r="AL38" s="2"/>
      <c r="AM38" s="62"/>
      <c r="AN38" s="104"/>
      <c r="AO38" s="104"/>
      <c r="AP38" s="2"/>
      <c r="AQ38" s="2"/>
      <c r="AR38" s="2"/>
      <c r="AS38" s="2"/>
      <c r="AT38" s="2"/>
      <c r="AU38" s="2"/>
      <c r="AV38" s="2"/>
      <c r="AW38" s="2"/>
      <c r="AX38" s="2"/>
    </row>
    <row r="39" spans="10:50" ht="12.75">
      <c r="J39" s="2"/>
      <c r="K39" s="62"/>
      <c r="AL39" s="2"/>
      <c r="AM39" s="62"/>
      <c r="AN39" s="104"/>
      <c r="AO39" s="104"/>
      <c r="AP39" s="2"/>
      <c r="AQ39" s="2"/>
      <c r="AR39" s="2"/>
      <c r="AS39" s="2"/>
      <c r="AT39" s="2"/>
      <c r="AU39" s="2"/>
      <c r="AV39" s="2"/>
      <c r="AW39" s="2"/>
      <c r="AX39" s="2"/>
    </row>
    <row r="40" spans="10:50" ht="12.75">
      <c r="J40" s="2"/>
      <c r="K40" s="62"/>
      <c r="AL40" s="2"/>
      <c r="AM40" s="62"/>
      <c r="AN40" s="104"/>
      <c r="AO40" s="104"/>
      <c r="AP40" s="2"/>
      <c r="AQ40" s="2"/>
      <c r="AR40" s="2"/>
      <c r="AS40" s="2"/>
      <c r="AT40" s="2"/>
      <c r="AU40" s="2"/>
      <c r="AV40" s="2"/>
      <c r="AW40" s="2"/>
      <c r="AX40" s="2"/>
    </row>
    <row r="41" spans="10:50" ht="12.75">
      <c r="J41" s="2"/>
      <c r="K41" s="2"/>
      <c r="AL41" s="2"/>
      <c r="AM41" s="2"/>
      <c r="AN41" s="104"/>
      <c r="AO41" s="104"/>
      <c r="AP41" s="2"/>
      <c r="AQ41" s="2"/>
      <c r="AR41" s="2"/>
      <c r="AS41" s="2"/>
      <c r="AT41" s="2"/>
      <c r="AU41" s="2"/>
      <c r="AV41" s="2"/>
      <c r="AW41" s="2"/>
      <c r="AX41" s="2"/>
    </row>
    <row r="42" spans="10:50" ht="12.75">
      <c r="J42" s="2"/>
      <c r="K42" s="62"/>
      <c r="AL42" s="2"/>
      <c r="AM42" s="62"/>
      <c r="AN42" s="104"/>
      <c r="AO42" s="104"/>
      <c r="AP42" s="2"/>
      <c r="AQ42" s="2"/>
      <c r="AR42" s="2"/>
      <c r="AS42" s="2"/>
      <c r="AT42" s="2"/>
      <c r="AU42" s="2"/>
      <c r="AV42" s="2"/>
      <c r="AW42" s="2"/>
      <c r="AX42" s="2"/>
    </row>
    <row r="43" spans="10:50" ht="12.75">
      <c r="J43" s="103"/>
      <c r="K43" s="2"/>
      <c r="AL43" s="103"/>
      <c r="AM43" s="2"/>
      <c r="AN43" s="104"/>
      <c r="AO43" s="104"/>
      <c r="AP43" s="2"/>
      <c r="AQ43" s="2"/>
      <c r="AR43" s="2"/>
      <c r="AS43" s="2"/>
      <c r="AT43" s="2"/>
      <c r="AU43" s="2"/>
      <c r="AV43" s="2"/>
      <c r="AW43" s="2"/>
      <c r="AX43" s="2"/>
    </row>
    <row r="44" spans="10:50" ht="12.75">
      <c r="J44" s="103"/>
      <c r="K44" s="2"/>
      <c r="AL44" s="103"/>
      <c r="AM44" s="2"/>
      <c r="AN44" s="104"/>
      <c r="AO44" s="104"/>
      <c r="AP44" s="2"/>
      <c r="AQ44" s="2"/>
      <c r="AR44" s="2"/>
      <c r="AS44" s="2"/>
      <c r="AT44" s="2"/>
      <c r="AU44" s="2"/>
      <c r="AV44" s="2"/>
      <c r="AW44" s="2"/>
      <c r="AX44" s="2"/>
    </row>
    <row r="45" spans="10:50" ht="12.75">
      <c r="J45" s="103"/>
      <c r="K45" s="2"/>
      <c r="AL45" s="103"/>
      <c r="AM45" s="2"/>
      <c r="AN45" s="104"/>
      <c r="AO45" s="104"/>
      <c r="AP45" s="2"/>
      <c r="AQ45" s="2"/>
      <c r="AR45" s="2"/>
      <c r="AS45" s="2"/>
      <c r="AT45" s="2"/>
      <c r="AU45" s="2"/>
      <c r="AV45" s="2"/>
      <c r="AW45" s="2"/>
      <c r="AX45" s="2"/>
    </row>
    <row r="46" spans="10:50" ht="12.75">
      <c r="J46" s="2"/>
      <c r="K46" s="2"/>
      <c r="AL46" s="2"/>
      <c r="AM46" s="2"/>
      <c r="AN46" s="104"/>
      <c r="AO46" s="104"/>
      <c r="AP46" s="2"/>
      <c r="AQ46" s="2"/>
      <c r="AR46" s="2"/>
      <c r="AS46" s="2"/>
      <c r="AT46" s="2"/>
      <c r="AU46" s="2"/>
      <c r="AV46" s="2"/>
      <c r="AW46" s="2"/>
      <c r="AX46" s="2"/>
    </row>
    <row r="47" spans="10:50" ht="12.75">
      <c r="J47" s="103"/>
      <c r="K47" s="15"/>
      <c r="AL47" s="103"/>
      <c r="AM47" s="15"/>
      <c r="AN47" s="104"/>
      <c r="AO47" s="104"/>
      <c r="AP47" s="2"/>
      <c r="AQ47" s="2"/>
      <c r="AR47" s="2"/>
      <c r="AS47" s="2"/>
      <c r="AT47" s="2"/>
      <c r="AU47" s="2"/>
      <c r="AV47" s="2"/>
      <c r="AW47" s="2"/>
      <c r="AX47" s="2"/>
    </row>
    <row r="48" spans="38:50" ht="12.75">
      <c r="AL48" s="2"/>
      <c r="AM48" s="104"/>
      <c r="AN48" s="104"/>
      <c r="AO48" s="104"/>
      <c r="AP48" s="2"/>
      <c r="AQ48" s="2"/>
      <c r="AR48" s="2"/>
      <c r="AS48" s="2"/>
      <c r="AT48" s="2"/>
      <c r="AU48" s="2"/>
      <c r="AV48" s="2"/>
      <c r="AW48" s="2"/>
      <c r="AX48" s="2"/>
    </row>
    <row r="49" spans="38:50" ht="12.75">
      <c r="AL49" s="2"/>
      <c r="AM49" s="104"/>
      <c r="AN49" s="104"/>
      <c r="AO49" s="104"/>
      <c r="AP49" s="2"/>
      <c r="AQ49" s="2"/>
      <c r="AR49" s="2"/>
      <c r="AS49" s="2"/>
      <c r="AT49" s="2"/>
      <c r="AU49" s="2"/>
      <c r="AV49" s="2"/>
      <c r="AW49" s="2"/>
      <c r="AX49" s="2"/>
    </row>
    <row r="50" spans="38:50" ht="12.75">
      <c r="AL50" s="2"/>
      <c r="AM50" s="104"/>
      <c r="AN50" s="104"/>
      <c r="AO50" s="104"/>
      <c r="AP50" s="2"/>
      <c r="AQ50" s="2"/>
      <c r="AR50" s="2"/>
      <c r="AS50" s="2"/>
      <c r="AT50" s="2"/>
      <c r="AU50" s="2"/>
      <c r="AV50" s="2"/>
      <c r="AW50" s="2"/>
      <c r="AX50" s="2"/>
    </row>
    <row r="51" spans="38:50" ht="12.75">
      <c r="AL51" s="2"/>
      <c r="AM51" s="104"/>
      <c r="AN51" s="104"/>
      <c r="AO51" s="104"/>
      <c r="AP51" s="2"/>
      <c r="AQ51" s="2"/>
      <c r="AR51" s="2"/>
      <c r="AS51" s="2"/>
      <c r="AT51" s="2"/>
      <c r="AU51" s="2"/>
      <c r="AV51" s="2"/>
      <c r="AW51" s="2"/>
      <c r="AX51" s="2"/>
    </row>
    <row r="52" spans="38:50" ht="12.75">
      <c r="AL52" s="2"/>
      <c r="AM52" s="104"/>
      <c r="AN52" s="104"/>
      <c r="AO52" s="104"/>
      <c r="AP52" s="2"/>
      <c r="AQ52" s="2"/>
      <c r="AR52" s="2"/>
      <c r="AS52" s="2"/>
      <c r="AT52" s="2"/>
      <c r="AU52" s="2"/>
      <c r="AV52" s="2"/>
      <c r="AW52" s="2"/>
      <c r="AX52" s="2"/>
    </row>
    <row r="53" spans="38:50" ht="12.75">
      <c r="AL53" s="2"/>
      <c r="AM53" s="104"/>
      <c r="AN53" s="104"/>
      <c r="AO53" s="104"/>
      <c r="AP53" s="2"/>
      <c r="AQ53" s="2"/>
      <c r="AR53" s="2"/>
      <c r="AS53" s="2"/>
      <c r="AT53" s="2"/>
      <c r="AU53" s="2"/>
      <c r="AV53" s="2"/>
      <c r="AW53" s="2"/>
      <c r="AX53" s="2"/>
    </row>
    <row r="54" spans="38:50" ht="12.75">
      <c r="AL54" s="2"/>
      <c r="AM54" s="104"/>
      <c r="AN54" s="104"/>
      <c r="AO54" s="104"/>
      <c r="AP54" s="2"/>
      <c r="AQ54" s="2"/>
      <c r="AR54" s="2"/>
      <c r="AS54" s="2"/>
      <c r="AT54" s="2"/>
      <c r="AU54" s="2"/>
      <c r="AV54" s="2"/>
      <c r="AW54" s="2"/>
      <c r="AX54" s="2"/>
    </row>
    <row r="56" ht="12.75">
      <c r="R56" s="41"/>
    </row>
    <row r="58" spans="17:18" ht="12.75">
      <c r="Q58" s="2"/>
      <c r="R58" s="2"/>
    </row>
    <row r="60" ht="12.75">
      <c r="R60" s="2"/>
    </row>
    <row r="61" ht="12.75">
      <c r="R61" s="2"/>
    </row>
    <row r="62" ht="12.75">
      <c r="R62" s="2"/>
    </row>
    <row r="63" ht="12.75">
      <c r="R63" s="2"/>
    </row>
    <row r="64" ht="12.75">
      <c r="R64" s="2"/>
    </row>
    <row r="65" ht="12.75">
      <c r="R65" s="15"/>
    </row>
  </sheetData>
  <mergeCells count="176">
    <mergeCell ref="V30:W30"/>
    <mergeCell ref="AM30:AN30"/>
    <mergeCell ref="AP30:AQ30"/>
    <mergeCell ref="AS30:AT30"/>
    <mergeCell ref="V31:W31"/>
    <mergeCell ref="AM31:AN31"/>
    <mergeCell ref="AP31:AQ31"/>
    <mergeCell ref="AS31:AT31"/>
    <mergeCell ref="E31:F31"/>
    <mergeCell ref="K31:L31"/>
    <mergeCell ref="N31:O31"/>
    <mergeCell ref="Q31:R31"/>
    <mergeCell ref="E30:F30"/>
    <mergeCell ref="K30:L30"/>
    <mergeCell ref="N30:O30"/>
    <mergeCell ref="Q30:R30"/>
    <mergeCell ref="V29:W29"/>
    <mergeCell ref="AM29:AN29"/>
    <mergeCell ref="AP29:AQ29"/>
    <mergeCell ref="AS29:AT29"/>
    <mergeCell ref="E29:F29"/>
    <mergeCell ref="K29:L29"/>
    <mergeCell ref="N29:O29"/>
    <mergeCell ref="Q29:R29"/>
    <mergeCell ref="V28:W28"/>
    <mergeCell ref="AM28:AN28"/>
    <mergeCell ref="AP28:AQ28"/>
    <mergeCell ref="AS28:AT28"/>
    <mergeCell ref="E28:F28"/>
    <mergeCell ref="K28:L28"/>
    <mergeCell ref="N28:O28"/>
    <mergeCell ref="Q28:R28"/>
    <mergeCell ref="V27:W27"/>
    <mergeCell ref="AM27:AN27"/>
    <mergeCell ref="AP27:AQ27"/>
    <mergeCell ref="AS27:AT27"/>
    <mergeCell ref="E27:F27"/>
    <mergeCell ref="K27:L27"/>
    <mergeCell ref="N27:O27"/>
    <mergeCell ref="Q27:R27"/>
    <mergeCell ref="AP25:AQ25"/>
    <mergeCell ref="AS25:AT25"/>
    <mergeCell ref="E26:F26"/>
    <mergeCell ref="K26:L26"/>
    <mergeCell ref="N26:O26"/>
    <mergeCell ref="Q26:R26"/>
    <mergeCell ref="V26:W26"/>
    <mergeCell ref="AM26:AN26"/>
    <mergeCell ref="AP26:AQ26"/>
    <mergeCell ref="AS26:AT26"/>
    <mergeCell ref="E25:F25"/>
    <mergeCell ref="N25:O25"/>
    <mergeCell ref="Q25:R25"/>
    <mergeCell ref="V25:W25"/>
    <mergeCell ref="AP23:AQ23"/>
    <mergeCell ref="AS23:AT23"/>
    <mergeCell ref="E24:F24"/>
    <mergeCell ref="N24:O24"/>
    <mergeCell ref="Q24:R24"/>
    <mergeCell ref="V24:W24"/>
    <mergeCell ref="AP24:AQ24"/>
    <mergeCell ref="AS24:AT24"/>
    <mergeCell ref="E23:F23"/>
    <mergeCell ref="N23:O23"/>
    <mergeCell ref="Q23:R23"/>
    <mergeCell ref="V23:W23"/>
    <mergeCell ref="V22:W22"/>
    <mergeCell ref="AM22:AN22"/>
    <mergeCell ref="AP22:AQ22"/>
    <mergeCell ref="AS22:AT22"/>
    <mergeCell ref="E22:F22"/>
    <mergeCell ref="K22:L22"/>
    <mergeCell ref="N22:O22"/>
    <mergeCell ref="Q22:R22"/>
    <mergeCell ref="K20:L20"/>
    <mergeCell ref="AM20:AN20"/>
    <mergeCell ref="K21:L21"/>
    <mergeCell ref="AM21:AN21"/>
    <mergeCell ref="K18:L18"/>
    <mergeCell ref="AM18:AN18"/>
    <mergeCell ref="K19:L19"/>
    <mergeCell ref="AM19:AN19"/>
    <mergeCell ref="V17:W17"/>
    <mergeCell ref="AM17:AN17"/>
    <mergeCell ref="AP17:AQ17"/>
    <mergeCell ref="AS17:AT17"/>
    <mergeCell ref="E17:F17"/>
    <mergeCell ref="K17:L17"/>
    <mergeCell ref="N17:O17"/>
    <mergeCell ref="Q17:R17"/>
    <mergeCell ref="V16:W16"/>
    <mergeCell ref="AM16:AN16"/>
    <mergeCell ref="AP16:AQ16"/>
    <mergeCell ref="AS16:AT16"/>
    <mergeCell ref="E16:F16"/>
    <mergeCell ref="K16:L16"/>
    <mergeCell ref="N16:O16"/>
    <mergeCell ref="Q16:R16"/>
    <mergeCell ref="V15:W15"/>
    <mergeCell ref="AM15:AN15"/>
    <mergeCell ref="AP15:AQ15"/>
    <mergeCell ref="AS15:AT15"/>
    <mergeCell ref="E15:F15"/>
    <mergeCell ref="K15:L15"/>
    <mergeCell ref="N15:O15"/>
    <mergeCell ref="Q15:R15"/>
    <mergeCell ref="V14:W14"/>
    <mergeCell ref="AM14:AN14"/>
    <mergeCell ref="AP14:AQ14"/>
    <mergeCell ref="AS14:AT14"/>
    <mergeCell ref="E14:F14"/>
    <mergeCell ref="K14:L14"/>
    <mergeCell ref="N14:O14"/>
    <mergeCell ref="Q14:R14"/>
    <mergeCell ref="V13:W13"/>
    <mergeCell ref="AM13:AN13"/>
    <mergeCell ref="AP13:AQ13"/>
    <mergeCell ref="AS13:AT13"/>
    <mergeCell ref="E13:F13"/>
    <mergeCell ref="K13:L13"/>
    <mergeCell ref="N13:O13"/>
    <mergeCell ref="Q13:R13"/>
    <mergeCell ref="AS11:AT11"/>
    <mergeCell ref="E12:F12"/>
    <mergeCell ref="K12:L12"/>
    <mergeCell ref="N12:O12"/>
    <mergeCell ref="Q12:R12"/>
    <mergeCell ref="V12:W12"/>
    <mergeCell ref="AM12:AN12"/>
    <mergeCell ref="AP12:AQ12"/>
    <mergeCell ref="AS12:AT12"/>
    <mergeCell ref="AM10:AN10"/>
    <mergeCell ref="AP10:AQ10"/>
    <mergeCell ref="AS10:AT10"/>
    <mergeCell ref="E11:F11"/>
    <mergeCell ref="K11:L11"/>
    <mergeCell ref="N11:O11"/>
    <mergeCell ref="Q11:R11"/>
    <mergeCell ref="V11:W11"/>
    <mergeCell ref="AM11:AN11"/>
    <mergeCell ref="AP11:AQ11"/>
    <mergeCell ref="K10:L10"/>
    <mergeCell ref="N10:O10"/>
    <mergeCell ref="Q10:R10"/>
    <mergeCell ref="V10:W10"/>
    <mergeCell ref="AS8:AT8"/>
    <mergeCell ref="E9:F9"/>
    <mergeCell ref="K9:L9"/>
    <mergeCell ref="N9:O9"/>
    <mergeCell ref="Q9:R9"/>
    <mergeCell ref="V9:W9"/>
    <mergeCell ref="AM9:AN9"/>
    <mergeCell ref="AP9:AQ9"/>
    <mergeCell ref="AS9:AT9"/>
    <mergeCell ref="V7:W7"/>
    <mergeCell ref="AP7:AQ7"/>
    <mergeCell ref="AS7:AT7"/>
    <mergeCell ref="E8:F8"/>
    <mergeCell ref="K8:L8"/>
    <mergeCell ref="N8:O8"/>
    <mergeCell ref="Q8:R8"/>
    <mergeCell ref="V8:W8"/>
    <mergeCell ref="AM8:AN8"/>
    <mergeCell ref="AP8:AQ8"/>
    <mergeCell ref="E6:F7"/>
    <mergeCell ref="A7:B7"/>
    <mergeCell ref="N7:O7"/>
    <mergeCell ref="Q7:R7"/>
    <mergeCell ref="AL3:AZ3"/>
    <mergeCell ref="A1:G4"/>
    <mergeCell ref="E5:F5"/>
    <mergeCell ref="Q5:W5"/>
    <mergeCell ref="AE5:AG5"/>
    <mergeCell ref="J3:AK3"/>
    <mergeCell ref="AP5:AT5"/>
    <mergeCell ref="AW5:AY5"/>
  </mergeCells>
  <printOptions/>
  <pageMargins left="0.31496062992125984" right="0" top="0.31496062992125984" bottom="0" header="0.5118110236220472" footer="0.5118110236220472"/>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sheetPr codeName="Sheet3"/>
  <dimension ref="A1:Z49"/>
  <sheetViews>
    <sheetView view="pageBreakPreview" zoomScaleSheetLayoutView="100" workbookViewId="0" topLeftCell="B1">
      <selection activeCell="K44" sqref="K44"/>
    </sheetView>
  </sheetViews>
  <sheetFormatPr defaultColWidth="11.421875" defaultRowHeight="12.75" outlineLevelRow="1"/>
  <cols>
    <col min="1" max="1" width="18.00390625" style="1" customWidth="1"/>
    <col min="2" max="2" width="42.28125" style="1" customWidth="1"/>
    <col min="3" max="3" width="5.7109375" style="1" customWidth="1"/>
    <col min="4" max="4" width="4.140625" style="1" customWidth="1"/>
    <col min="5" max="5" width="5.140625" style="2" customWidth="1"/>
    <col min="6" max="6" width="22.8515625" style="2" customWidth="1"/>
    <col min="7" max="7" width="5.7109375" style="2" customWidth="1"/>
    <col min="8" max="8" width="12.421875" style="2" customWidth="1"/>
    <col min="9" max="9" width="27.421875" style="1" customWidth="1"/>
    <col min="10" max="10" width="25.8515625" style="1" customWidth="1"/>
    <col min="11" max="11" width="18.7109375" style="1" customWidth="1"/>
    <col min="12" max="12" width="9.57421875" style="1" customWidth="1"/>
    <col min="13" max="13" width="19.421875" style="1" customWidth="1"/>
    <col min="14" max="14" width="44.421875" style="1" customWidth="1"/>
    <col min="15" max="16" width="5.28125" style="1" customWidth="1"/>
    <col min="17" max="17" width="6.140625" style="51" customWidth="1"/>
    <col min="18" max="18" width="20.57421875" style="51" customWidth="1"/>
    <col min="19" max="19" width="7.421875" style="1" customWidth="1"/>
    <col min="20" max="20" width="11.8515625" style="1" customWidth="1"/>
    <col min="21" max="21" width="25.8515625" style="1" customWidth="1"/>
    <col min="22" max="22" width="11.421875" style="1" customWidth="1"/>
    <col min="23" max="23" width="6.140625" style="1" customWidth="1"/>
    <col min="24" max="25" width="11.421875" style="1" customWidth="1"/>
    <col min="26" max="26" width="9.8515625" style="1" customWidth="1"/>
    <col min="27" max="16384" width="11.421875" style="1" customWidth="1"/>
  </cols>
  <sheetData>
    <row r="1" spans="12:26" ht="26.25" customHeight="1">
      <c r="L1" s="196" t="s">
        <v>240</v>
      </c>
      <c r="Z1" s="196" t="s">
        <v>239</v>
      </c>
    </row>
    <row r="2" ht="6.75" customHeight="1">
      <c r="A2" s="93"/>
    </row>
    <row r="3" spans="1:26" s="2" customFormat="1" ht="48.75" customHeight="1">
      <c r="A3" s="198" t="s">
        <v>182</v>
      </c>
      <c r="B3" s="198"/>
      <c r="C3" s="198"/>
      <c r="D3" s="198"/>
      <c r="E3" s="198"/>
      <c r="F3" s="198"/>
      <c r="G3" s="198"/>
      <c r="H3" s="198"/>
      <c r="I3" s="198"/>
      <c r="J3" s="198"/>
      <c r="K3" s="198"/>
      <c r="L3" s="198"/>
      <c r="M3" s="200" t="s">
        <v>214</v>
      </c>
      <c r="N3" s="200"/>
      <c r="O3" s="200"/>
      <c r="P3" s="200"/>
      <c r="Q3" s="200"/>
      <c r="R3" s="200"/>
      <c r="S3" s="200"/>
      <c r="T3" s="200"/>
      <c r="U3" s="200"/>
      <c r="V3" s="200"/>
      <c r="W3" s="200"/>
      <c r="X3" s="200"/>
      <c r="Y3" s="200"/>
      <c r="Z3" s="200"/>
    </row>
    <row r="4" spans="1:18" s="2" customFormat="1" ht="19.5" customHeight="1" thickBot="1">
      <c r="A4" s="93"/>
      <c r="B4" s="1"/>
      <c r="C4" s="1"/>
      <c r="D4" s="18"/>
      <c r="Q4" s="86"/>
      <c r="R4" s="86"/>
    </row>
    <row r="5" spans="2:21" s="2" customFormat="1" ht="17.25" customHeight="1" thickBot="1">
      <c r="B5" s="18"/>
      <c r="C5" s="18"/>
      <c r="D5" s="71"/>
      <c r="E5" s="219" t="s">
        <v>1</v>
      </c>
      <c r="F5" s="221"/>
      <c r="I5" s="76" t="s">
        <v>2</v>
      </c>
      <c r="J5" s="77"/>
      <c r="K5" s="106"/>
      <c r="L5" s="106"/>
      <c r="M5" s="106"/>
      <c r="N5" s="106"/>
      <c r="O5" s="106"/>
      <c r="P5" s="106"/>
      <c r="Q5" s="219" t="s">
        <v>82</v>
      </c>
      <c r="R5" s="221"/>
      <c r="U5" s="76" t="s">
        <v>83</v>
      </c>
    </row>
    <row r="6" spans="7:18" ht="6.75" customHeight="1">
      <c r="G6" s="32"/>
      <c r="R6" s="18"/>
    </row>
    <row r="7" spans="2:21" s="2" customFormat="1" ht="53.25" customHeight="1">
      <c r="B7" s="67"/>
      <c r="E7" s="230" t="s">
        <v>106</v>
      </c>
      <c r="F7" s="230"/>
      <c r="G7" s="33"/>
      <c r="H7" s="159" t="s">
        <v>178</v>
      </c>
      <c r="I7" s="172" t="s">
        <v>106</v>
      </c>
      <c r="J7" s="59"/>
      <c r="K7" s="59"/>
      <c r="L7" s="59"/>
      <c r="M7" s="59"/>
      <c r="N7" s="59"/>
      <c r="O7" s="59"/>
      <c r="P7" s="59"/>
      <c r="Q7" s="226" t="s">
        <v>198</v>
      </c>
      <c r="R7" s="226"/>
      <c r="S7" s="33"/>
      <c r="T7" s="159" t="s">
        <v>193</v>
      </c>
      <c r="U7" s="114" t="s">
        <v>198</v>
      </c>
    </row>
    <row r="8" spans="2:21" ht="28.5" customHeight="1">
      <c r="B8" s="229" t="s">
        <v>0</v>
      </c>
      <c r="C8" s="229"/>
      <c r="D8" s="14"/>
      <c r="E8" s="227">
        <f>E9+E10+E11+E12+E13+E14+E15</f>
        <v>5613.802435897435</v>
      </c>
      <c r="F8" s="228"/>
      <c r="G8" s="34"/>
      <c r="H8" s="21">
        <v>13</v>
      </c>
      <c r="I8" s="25">
        <f>(E8)*13</f>
        <v>72979.43166666666</v>
      </c>
      <c r="J8" s="19"/>
      <c r="K8" s="19"/>
      <c r="L8" s="19"/>
      <c r="M8" s="19"/>
      <c r="N8" s="229" t="s">
        <v>23</v>
      </c>
      <c r="O8" s="229"/>
      <c r="P8" s="19"/>
      <c r="Q8" s="227">
        <f aca="true" t="shared" si="0" ref="Q8:Q16">E8</f>
        <v>5613.802435897435</v>
      </c>
      <c r="R8" s="228"/>
      <c r="S8" s="34"/>
      <c r="T8" s="21">
        <v>13</v>
      </c>
      <c r="U8" s="25">
        <f>I8</f>
        <v>72979.43166666666</v>
      </c>
    </row>
    <row r="9" spans="2:21" ht="15" customHeight="1">
      <c r="B9" s="222" t="s">
        <v>61</v>
      </c>
      <c r="C9" s="223"/>
      <c r="D9" s="16"/>
      <c r="E9" s="224">
        <f>28790.37/12</f>
        <v>2399.1974999999998</v>
      </c>
      <c r="F9" s="225"/>
      <c r="G9" s="35"/>
      <c r="H9" s="20"/>
      <c r="I9" s="12">
        <f aca="true" t="shared" si="1" ref="I9:I17">E9*13</f>
        <v>31189.567499999997</v>
      </c>
      <c r="J9" s="60"/>
      <c r="K9" s="60"/>
      <c r="L9" s="60"/>
      <c r="M9" s="60"/>
      <c r="N9" s="222" t="s">
        <v>80</v>
      </c>
      <c r="O9" s="223"/>
      <c r="P9" s="60"/>
      <c r="Q9" s="224">
        <f t="shared" si="0"/>
        <v>2399.1974999999998</v>
      </c>
      <c r="R9" s="225"/>
      <c r="S9" s="107"/>
      <c r="T9" s="20"/>
      <c r="U9" s="12">
        <f aca="true" t="shared" si="2" ref="U9:U17">Q9*13</f>
        <v>31189.567499999997</v>
      </c>
    </row>
    <row r="10" spans="2:21" ht="15" customHeight="1">
      <c r="B10" s="222" t="s">
        <v>100</v>
      </c>
      <c r="C10" s="223"/>
      <c r="D10" s="16"/>
      <c r="E10" s="224">
        <v>0</v>
      </c>
      <c r="F10" s="225"/>
      <c r="G10" s="35"/>
      <c r="H10" s="20"/>
      <c r="I10" s="12">
        <f t="shared" si="1"/>
        <v>0</v>
      </c>
      <c r="J10" s="60"/>
      <c r="K10" s="60"/>
      <c r="L10" s="60"/>
      <c r="M10" s="60"/>
      <c r="N10" s="222" t="s">
        <v>101</v>
      </c>
      <c r="O10" s="223"/>
      <c r="P10" s="60"/>
      <c r="Q10" s="224">
        <f t="shared" si="0"/>
        <v>0</v>
      </c>
      <c r="R10" s="225"/>
      <c r="S10" s="107"/>
      <c r="T10" s="20"/>
      <c r="U10" s="12">
        <f t="shared" si="2"/>
        <v>0</v>
      </c>
    </row>
    <row r="11" spans="2:21" ht="15" customHeight="1">
      <c r="B11" s="222" t="s">
        <v>97</v>
      </c>
      <c r="C11" s="223"/>
      <c r="D11" s="16"/>
      <c r="E11" s="224">
        <v>848.14</v>
      </c>
      <c r="F11" s="225"/>
      <c r="G11" s="35"/>
      <c r="H11" s="20"/>
      <c r="I11" s="12">
        <f t="shared" si="1"/>
        <v>11025.82</v>
      </c>
      <c r="J11" s="60"/>
      <c r="K11" s="60"/>
      <c r="L11" s="60"/>
      <c r="M11" s="60"/>
      <c r="N11" s="222" t="s">
        <v>24</v>
      </c>
      <c r="O11" s="223"/>
      <c r="P11" s="60"/>
      <c r="Q11" s="224">
        <f t="shared" si="0"/>
        <v>848.14</v>
      </c>
      <c r="R11" s="225"/>
      <c r="S11" s="35"/>
      <c r="T11" s="20"/>
      <c r="U11" s="12">
        <f t="shared" si="2"/>
        <v>11025.82</v>
      </c>
    </row>
    <row r="12" spans="2:21" ht="15" customHeight="1">
      <c r="B12" s="222" t="s">
        <v>98</v>
      </c>
      <c r="C12" s="223"/>
      <c r="D12" s="16"/>
      <c r="E12" s="224">
        <f>4747.44/12</f>
        <v>395.61999999999995</v>
      </c>
      <c r="F12" s="225"/>
      <c r="G12" s="35"/>
      <c r="H12" s="20"/>
      <c r="I12" s="12">
        <f t="shared" si="1"/>
        <v>5143.0599999999995</v>
      </c>
      <c r="J12" s="60"/>
      <c r="K12" s="60"/>
      <c r="L12" s="60"/>
      <c r="M12" s="60"/>
      <c r="N12" s="222" t="s">
        <v>25</v>
      </c>
      <c r="O12" s="223"/>
      <c r="P12" s="60"/>
      <c r="Q12" s="224">
        <f t="shared" si="0"/>
        <v>395.61999999999995</v>
      </c>
      <c r="R12" s="225"/>
      <c r="S12" s="35"/>
      <c r="T12" s="20"/>
      <c r="U12" s="12">
        <f t="shared" si="2"/>
        <v>5143.0599999999995</v>
      </c>
    </row>
    <row r="13" spans="2:21" ht="15" customHeight="1">
      <c r="B13" s="222" t="s">
        <v>21</v>
      </c>
      <c r="C13" s="223"/>
      <c r="D13" s="16"/>
      <c r="E13" s="224">
        <f>14370.17/12</f>
        <v>1197.5141666666666</v>
      </c>
      <c r="F13" s="225"/>
      <c r="G13" s="35"/>
      <c r="H13" s="20"/>
      <c r="I13" s="12">
        <f t="shared" si="1"/>
        <v>15567.684166666666</v>
      </c>
      <c r="J13" s="60"/>
      <c r="K13" s="60"/>
      <c r="L13" s="60"/>
      <c r="M13" s="60"/>
      <c r="N13" s="222" t="s">
        <v>26</v>
      </c>
      <c r="O13" s="223"/>
      <c r="P13" s="60"/>
      <c r="Q13" s="224">
        <f t="shared" si="0"/>
        <v>1197.5141666666666</v>
      </c>
      <c r="R13" s="225"/>
      <c r="S13" s="35"/>
      <c r="T13" s="20"/>
      <c r="U13" s="12">
        <f t="shared" si="2"/>
        <v>15567.684166666666</v>
      </c>
    </row>
    <row r="14" spans="1:21" ht="15" customHeight="1">
      <c r="A14" s="88" t="s">
        <v>121</v>
      </c>
      <c r="B14" s="222" t="s">
        <v>85</v>
      </c>
      <c r="C14" s="223"/>
      <c r="D14" s="16"/>
      <c r="E14" s="204">
        <v>600</v>
      </c>
      <c r="F14" s="204"/>
      <c r="G14" s="35"/>
      <c r="H14" s="20"/>
      <c r="I14" s="12">
        <f t="shared" si="1"/>
        <v>7800</v>
      </c>
      <c r="J14" s="60"/>
      <c r="K14" s="60"/>
      <c r="L14" s="60"/>
      <c r="M14" s="88" t="s">
        <v>123</v>
      </c>
      <c r="N14" s="222" t="s">
        <v>27</v>
      </c>
      <c r="O14" s="223"/>
      <c r="P14" s="60"/>
      <c r="Q14" s="224">
        <f t="shared" si="0"/>
        <v>600</v>
      </c>
      <c r="R14" s="225"/>
      <c r="S14" s="35"/>
      <c r="T14" s="20"/>
      <c r="U14" s="12">
        <f t="shared" si="2"/>
        <v>7800</v>
      </c>
    </row>
    <row r="15" spans="1:21" ht="15" customHeight="1">
      <c r="A15" s="88" t="s">
        <v>116</v>
      </c>
      <c r="B15" s="222" t="s">
        <v>41</v>
      </c>
      <c r="C15" s="223"/>
      <c r="D15" s="16"/>
      <c r="E15" s="224">
        <f>(2253.3)/13</f>
        <v>173.33076923076925</v>
      </c>
      <c r="F15" s="225"/>
      <c r="G15" s="35"/>
      <c r="H15" s="20"/>
      <c r="I15" s="12">
        <f t="shared" si="1"/>
        <v>2253.3</v>
      </c>
      <c r="J15" s="60"/>
      <c r="K15" s="60"/>
      <c r="L15" s="60"/>
      <c r="M15" s="88" t="s">
        <v>117</v>
      </c>
      <c r="N15" s="222" t="s">
        <v>44</v>
      </c>
      <c r="O15" s="223"/>
      <c r="P15" s="60"/>
      <c r="Q15" s="224">
        <f t="shared" si="0"/>
        <v>173.33076923076925</v>
      </c>
      <c r="R15" s="225"/>
      <c r="S15" s="35"/>
      <c r="T15" s="20"/>
      <c r="U15" s="12">
        <f t="shared" si="2"/>
        <v>2253.3</v>
      </c>
    </row>
    <row r="16" spans="1:21" ht="15" customHeight="1" hidden="1" outlineLevel="1" thickBot="1">
      <c r="A16" s="88"/>
      <c r="B16" s="222" t="s">
        <v>22</v>
      </c>
      <c r="C16" s="223"/>
      <c r="D16" s="16"/>
      <c r="E16" s="224" t="e">
        <f>IF(#REF!&gt;0,#REF!,0)</f>
        <v>#REF!</v>
      </c>
      <c r="F16" s="225"/>
      <c r="G16" s="35"/>
      <c r="H16" s="20"/>
      <c r="I16" s="12" t="e">
        <f t="shared" si="1"/>
        <v>#REF!</v>
      </c>
      <c r="J16" s="60"/>
      <c r="K16" s="60"/>
      <c r="L16" s="60"/>
      <c r="M16" s="88" t="s">
        <v>75</v>
      </c>
      <c r="N16" s="222" t="s">
        <v>28</v>
      </c>
      <c r="O16" s="223"/>
      <c r="P16" s="60"/>
      <c r="Q16" s="224" t="e">
        <f t="shared" si="0"/>
        <v>#REF!</v>
      </c>
      <c r="R16" s="225"/>
      <c r="S16" s="35"/>
      <c r="T16" s="20"/>
      <c r="U16" s="12" t="e">
        <f t="shared" si="2"/>
        <v>#REF!</v>
      </c>
    </row>
    <row r="17" spans="2:21" ht="28.5" customHeight="1" collapsed="1">
      <c r="B17" s="209" t="s">
        <v>4</v>
      </c>
      <c r="C17" s="210"/>
      <c r="D17" s="14"/>
      <c r="E17" s="227">
        <f>F18</f>
        <v>0</v>
      </c>
      <c r="F17" s="228"/>
      <c r="G17" s="34"/>
      <c r="H17" s="21">
        <v>13</v>
      </c>
      <c r="I17" s="26">
        <f t="shared" si="1"/>
        <v>0</v>
      </c>
      <c r="J17" s="19"/>
      <c r="K17" s="19"/>
      <c r="L17" s="19"/>
      <c r="N17" s="209" t="s">
        <v>29</v>
      </c>
      <c r="O17" s="210"/>
      <c r="P17" s="19"/>
      <c r="Q17" s="227">
        <f>R18</f>
        <v>0</v>
      </c>
      <c r="R17" s="228"/>
      <c r="S17" s="34"/>
      <c r="T17" s="21">
        <v>13</v>
      </c>
      <c r="U17" s="26">
        <f t="shared" si="2"/>
        <v>0</v>
      </c>
    </row>
    <row r="18" spans="2:21" ht="15" customHeight="1">
      <c r="B18" s="222" t="s">
        <v>5</v>
      </c>
      <c r="C18" s="223"/>
      <c r="D18" s="16"/>
      <c r="E18" s="9"/>
      <c r="F18" s="5"/>
      <c r="G18" s="36"/>
      <c r="I18" s="12"/>
      <c r="J18" s="60"/>
      <c r="K18" s="60"/>
      <c r="L18" s="60"/>
      <c r="M18" s="60"/>
      <c r="N18" s="222" t="s">
        <v>30</v>
      </c>
      <c r="O18" s="223"/>
      <c r="P18" s="60"/>
      <c r="Q18" s="9"/>
      <c r="R18" s="5"/>
      <c r="S18" s="36"/>
      <c r="T18" s="2"/>
      <c r="U18" s="12"/>
    </row>
    <row r="19" spans="2:21" ht="15" customHeight="1">
      <c r="B19" s="222" t="s">
        <v>92</v>
      </c>
      <c r="C19" s="223"/>
      <c r="D19" s="16"/>
      <c r="E19" s="4"/>
      <c r="F19" s="5"/>
      <c r="G19" s="36"/>
      <c r="H19" s="62"/>
      <c r="I19" s="12"/>
      <c r="J19" s="60"/>
      <c r="K19" s="60"/>
      <c r="L19" s="60"/>
      <c r="M19" s="60"/>
      <c r="N19" s="222" t="s">
        <v>91</v>
      </c>
      <c r="O19" s="223"/>
      <c r="P19" s="60"/>
      <c r="Q19" s="4"/>
      <c r="R19" s="5"/>
      <c r="S19" s="36"/>
      <c r="T19" s="62"/>
      <c r="U19" s="12"/>
    </row>
    <row r="20" spans="2:21" ht="15" customHeight="1">
      <c r="B20" s="222" t="s">
        <v>6</v>
      </c>
      <c r="C20" s="223"/>
      <c r="D20" s="16"/>
      <c r="E20" s="4"/>
      <c r="F20" s="5"/>
      <c r="G20" s="36"/>
      <c r="I20" s="12"/>
      <c r="J20" s="60"/>
      <c r="K20" s="60"/>
      <c r="L20" s="60"/>
      <c r="M20" s="60"/>
      <c r="N20" s="222" t="s">
        <v>31</v>
      </c>
      <c r="O20" s="223"/>
      <c r="P20" s="60"/>
      <c r="Q20" s="4"/>
      <c r="R20" s="5"/>
      <c r="S20" s="36"/>
      <c r="T20" s="2"/>
      <c r="U20" s="12"/>
    </row>
    <row r="21" spans="2:21" ht="15" customHeight="1" hidden="1" outlineLevel="1">
      <c r="B21" s="222" t="s">
        <v>66</v>
      </c>
      <c r="C21" s="223"/>
      <c r="D21" s="16"/>
      <c r="E21" s="5"/>
      <c r="F21" s="5"/>
      <c r="G21" s="36"/>
      <c r="I21" s="12"/>
      <c r="J21" s="60"/>
      <c r="K21" s="60"/>
      <c r="L21" s="60"/>
      <c r="M21" s="60"/>
      <c r="N21" s="222" t="s">
        <v>32</v>
      </c>
      <c r="O21" s="223"/>
      <c r="P21" s="60"/>
      <c r="Q21" s="5"/>
      <c r="R21" s="5"/>
      <c r="S21" s="36"/>
      <c r="T21" s="2"/>
      <c r="U21" s="12"/>
    </row>
    <row r="22" spans="2:21" ht="28.5" customHeight="1" collapsed="1">
      <c r="B22" s="209" t="s">
        <v>7</v>
      </c>
      <c r="C22" s="210"/>
      <c r="D22" s="14"/>
      <c r="E22" s="227">
        <f>E23</f>
        <v>0</v>
      </c>
      <c r="F22" s="228"/>
      <c r="G22" s="34"/>
      <c r="H22" s="21">
        <v>12</v>
      </c>
      <c r="I22" s="25">
        <f>E22*12</f>
        <v>0</v>
      </c>
      <c r="J22" s="22"/>
      <c r="K22" s="22"/>
      <c r="L22" s="22"/>
      <c r="M22" s="22"/>
      <c r="N22" s="209" t="s">
        <v>33</v>
      </c>
      <c r="O22" s="210"/>
      <c r="P22" s="22"/>
      <c r="Q22" s="227">
        <f>Q23</f>
        <v>0</v>
      </c>
      <c r="R22" s="228"/>
      <c r="S22" s="34"/>
      <c r="T22" s="21">
        <v>12</v>
      </c>
      <c r="U22" s="25">
        <f>Q22*12</f>
        <v>0</v>
      </c>
    </row>
    <row r="23" spans="2:21" ht="15" customHeight="1">
      <c r="B23" s="17" t="s">
        <v>90</v>
      </c>
      <c r="C23" s="7">
        <v>0</v>
      </c>
      <c r="D23" s="16"/>
      <c r="E23" s="224">
        <v>0</v>
      </c>
      <c r="F23" s="225"/>
      <c r="G23" s="63"/>
      <c r="I23" s="12">
        <v>0</v>
      </c>
      <c r="J23" s="22"/>
      <c r="K23" s="22"/>
      <c r="L23" s="22"/>
      <c r="M23" s="22"/>
      <c r="N23" s="17" t="s">
        <v>89</v>
      </c>
      <c r="O23" s="7">
        <v>0</v>
      </c>
      <c r="P23" s="22"/>
      <c r="Q23" s="224">
        <v>0</v>
      </c>
      <c r="R23" s="225"/>
      <c r="S23" s="63"/>
      <c r="T23" s="2"/>
      <c r="U23" s="12">
        <v>0</v>
      </c>
    </row>
    <row r="24" spans="2:21" ht="15" customHeight="1" hidden="1" outlineLevel="1">
      <c r="B24" s="17" t="s">
        <v>45</v>
      </c>
      <c r="C24" s="11">
        <v>0</v>
      </c>
      <c r="D24" s="16"/>
      <c r="E24" s="214"/>
      <c r="F24" s="215"/>
      <c r="G24" s="63"/>
      <c r="I24" s="31"/>
      <c r="J24" s="64"/>
      <c r="K24" s="64"/>
      <c r="L24" s="64"/>
      <c r="M24" s="64"/>
      <c r="N24" s="17" t="s">
        <v>46</v>
      </c>
      <c r="O24" s="11">
        <f>C24</f>
        <v>0</v>
      </c>
      <c r="P24" s="64"/>
      <c r="Q24" s="214"/>
      <c r="R24" s="215"/>
      <c r="S24" s="63"/>
      <c r="T24" s="2"/>
      <c r="U24" s="31"/>
    </row>
    <row r="25" spans="2:21" ht="15" customHeight="1" collapsed="1">
      <c r="B25" s="17" t="s">
        <v>99</v>
      </c>
      <c r="C25" s="7"/>
      <c r="D25" s="16"/>
      <c r="E25" s="214"/>
      <c r="F25" s="215"/>
      <c r="G25" s="24"/>
      <c r="H25" s="24"/>
      <c r="I25" s="31"/>
      <c r="J25" s="22"/>
      <c r="K25" s="22"/>
      <c r="L25" s="22"/>
      <c r="M25" s="22"/>
      <c r="N25" s="17" t="s">
        <v>34</v>
      </c>
      <c r="O25" s="7"/>
      <c r="P25" s="22"/>
      <c r="Q25" s="214"/>
      <c r="R25" s="215"/>
      <c r="S25" s="24"/>
      <c r="T25" s="24"/>
      <c r="U25" s="31"/>
    </row>
    <row r="26" spans="2:21" ht="23.25" customHeight="1" hidden="1" outlineLevel="1">
      <c r="B26" s="209" t="s">
        <v>16</v>
      </c>
      <c r="C26" s="210"/>
      <c r="D26" s="16"/>
      <c r="E26" s="205"/>
      <c r="F26" s="206"/>
      <c r="G26" s="63"/>
      <c r="H26" s="21">
        <v>12</v>
      </c>
      <c r="I26" s="26"/>
      <c r="J26" s="19"/>
      <c r="K26" s="19"/>
      <c r="L26" s="19"/>
      <c r="M26" s="19"/>
      <c r="N26" s="209" t="s">
        <v>35</v>
      </c>
      <c r="O26" s="210"/>
      <c r="P26" s="19"/>
      <c r="Q26" s="205"/>
      <c r="R26" s="206"/>
      <c r="S26" s="63"/>
      <c r="T26" s="21">
        <v>12</v>
      </c>
      <c r="U26" s="26"/>
    </row>
    <row r="27" spans="2:21" ht="15" customHeight="1" hidden="1" outlineLevel="1">
      <c r="B27" s="222" t="s">
        <v>10</v>
      </c>
      <c r="C27" s="223"/>
      <c r="D27" s="18"/>
      <c r="E27" s="214"/>
      <c r="F27" s="215"/>
      <c r="G27" s="63"/>
      <c r="H27" s="21"/>
      <c r="I27" s="31"/>
      <c r="J27" s="68"/>
      <c r="K27" s="68"/>
      <c r="L27" s="68"/>
      <c r="M27" s="68"/>
      <c r="N27" s="222" t="s">
        <v>40</v>
      </c>
      <c r="O27" s="223"/>
      <c r="P27" s="68"/>
      <c r="Q27" s="214"/>
      <c r="R27" s="215"/>
      <c r="S27" s="63"/>
      <c r="T27" s="21"/>
      <c r="U27" s="31"/>
    </row>
    <row r="28" spans="2:21" ht="15" customHeight="1" hidden="1" outlineLevel="1" thickBot="1">
      <c r="B28" s="222" t="s">
        <v>11</v>
      </c>
      <c r="C28" s="223"/>
      <c r="D28" s="18"/>
      <c r="E28" s="214"/>
      <c r="F28" s="215"/>
      <c r="G28" s="63"/>
      <c r="I28" s="31"/>
      <c r="J28" s="68"/>
      <c r="K28" s="68"/>
      <c r="L28" s="68"/>
      <c r="M28" s="68"/>
      <c r="N28" s="222" t="s">
        <v>36</v>
      </c>
      <c r="O28" s="223"/>
      <c r="P28" s="68"/>
      <c r="Q28" s="214"/>
      <c r="R28" s="215"/>
      <c r="S28" s="63"/>
      <c r="T28" s="2"/>
      <c r="U28" s="31"/>
    </row>
    <row r="29" spans="2:21" ht="15" customHeight="1" hidden="1" outlineLevel="1" thickBot="1">
      <c r="B29" s="222" t="s">
        <v>12</v>
      </c>
      <c r="C29" s="223"/>
      <c r="D29" s="18"/>
      <c r="E29" s="214"/>
      <c r="F29" s="215"/>
      <c r="G29" s="63"/>
      <c r="I29" s="31"/>
      <c r="J29" s="68"/>
      <c r="K29" s="68"/>
      <c r="L29" s="68"/>
      <c r="M29" s="68"/>
      <c r="N29" s="222" t="s">
        <v>37</v>
      </c>
      <c r="O29" s="223"/>
      <c r="P29" s="68"/>
      <c r="Q29" s="214"/>
      <c r="R29" s="215"/>
      <c r="S29" s="63"/>
      <c r="T29" s="2"/>
      <c r="U29" s="31"/>
    </row>
    <row r="30" spans="2:21" ht="15" customHeight="1" hidden="1" outlineLevel="1">
      <c r="B30" s="222" t="s">
        <v>13</v>
      </c>
      <c r="C30" s="223"/>
      <c r="D30" s="18"/>
      <c r="E30" s="214"/>
      <c r="F30" s="215"/>
      <c r="G30" s="63"/>
      <c r="I30" s="31"/>
      <c r="J30" s="68"/>
      <c r="K30" s="68"/>
      <c r="L30" s="68"/>
      <c r="M30" s="68"/>
      <c r="N30" s="222" t="s">
        <v>38</v>
      </c>
      <c r="O30" s="223"/>
      <c r="P30" s="68"/>
      <c r="Q30" s="214"/>
      <c r="R30" s="215"/>
      <c r="S30" s="63"/>
      <c r="T30" s="2"/>
      <c r="U30" s="31"/>
    </row>
    <row r="31" spans="2:21" ht="28.5" customHeight="1" collapsed="1">
      <c r="B31" s="207" t="s">
        <v>42</v>
      </c>
      <c r="C31" s="208"/>
      <c r="D31" s="18"/>
      <c r="E31" s="217">
        <f>E8+E17+E22</f>
        <v>5613.802435897435</v>
      </c>
      <c r="F31" s="218"/>
      <c r="G31" s="34"/>
      <c r="H31" s="13"/>
      <c r="I31" s="37">
        <f>I8+I17+I22</f>
        <v>72979.43166666666</v>
      </c>
      <c r="J31" s="29"/>
      <c r="K31" s="30"/>
      <c r="L31" s="30"/>
      <c r="M31" s="30"/>
      <c r="N31" s="207" t="s">
        <v>43</v>
      </c>
      <c r="O31" s="208"/>
      <c r="P31" s="30"/>
      <c r="Q31" s="217">
        <f>Q8+Q17+Q22</f>
        <v>5613.802435897435</v>
      </c>
      <c r="R31" s="218"/>
      <c r="S31" s="34"/>
      <c r="T31" s="13"/>
      <c r="U31" s="37">
        <f>U8+U17+U22</f>
        <v>72979.43166666666</v>
      </c>
    </row>
    <row r="32" spans="5:7" ht="12.75" customHeight="1">
      <c r="E32" s="1"/>
      <c r="F32" s="1"/>
      <c r="G32" s="63"/>
    </row>
    <row r="33" spans="1:15" ht="12.75" customHeight="1">
      <c r="A33" s="88" t="s">
        <v>62</v>
      </c>
      <c r="B33" s="1" t="s">
        <v>88</v>
      </c>
      <c r="E33" s="1"/>
      <c r="F33" s="1"/>
      <c r="G33" s="63"/>
      <c r="M33" s="88" t="s">
        <v>62</v>
      </c>
      <c r="N33" s="1" t="s">
        <v>207</v>
      </c>
      <c r="O33" s="51"/>
    </row>
    <row r="34" spans="1:15" ht="12.75" customHeight="1">
      <c r="A34" s="88"/>
      <c r="E34" s="1"/>
      <c r="F34" s="1"/>
      <c r="M34" s="88"/>
      <c r="O34" s="51"/>
    </row>
    <row r="35" spans="1:15" ht="12.75" customHeight="1">
      <c r="A35" s="88" t="s">
        <v>63</v>
      </c>
      <c r="B35" s="1" t="s">
        <v>110</v>
      </c>
      <c r="M35" s="88" t="s">
        <v>63</v>
      </c>
      <c r="N35" s="1" t="s">
        <v>211</v>
      </c>
      <c r="O35" s="51"/>
    </row>
    <row r="36" spans="1:17" ht="12.75" customHeight="1">
      <c r="A36" s="88"/>
      <c r="Q36" s="1"/>
    </row>
    <row r="37" spans="1:17" ht="12.75">
      <c r="A37" s="103"/>
      <c r="B37" s="2"/>
      <c r="C37" s="2"/>
      <c r="Q37" s="2"/>
    </row>
    <row r="38" spans="1:17" ht="12.75">
      <c r="A38" s="2"/>
      <c r="B38" s="62"/>
      <c r="C38" s="2"/>
      <c r="Q38" s="62"/>
    </row>
    <row r="39" spans="1:17" ht="12.75">
      <c r="A39" s="2"/>
      <c r="B39" s="62"/>
      <c r="C39" s="2"/>
      <c r="Q39" s="62"/>
    </row>
    <row r="40" spans="1:17" ht="12.75">
      <c r="A40" s="2"/>
      <c r="B40" s="62"/>
      <c r="C40" s="2"/>
      <c r="Q40" s="62"/>
    </row>
    <row r="41" spans="1:17" ht="12.75">
      <c r="A41" s="2"/>
      <c r="B41" s="2"/>
      <c r="C41" s="2"/>
      <c r="Q41" s="2"/>
    </row>
    <row r="42" spans="1:17" ht="12.75">
      <c r="A42" s="2"/>
      <c r="B42" s="62"/>
      <c r="C42" s="2"/>
      <c r="Q42" s="62"/>
    </row>
    <row r="43" spans="1:17" ht="12.75">
      <c r="A43" s="103"/>
      <c r="B43" s="2"/>
      <c r="C43" s="2"/>
      <c r="Q43" s="2"/>
    </row>
    <row r="44" spans="1:17" ht="12.75">
      <c r="A44" s="103"/>
      <c r="B44" s="2"/>
      <c r="C44" s="2"/>
      <c r="Q44" s="2"/>
    </row>
    <row r="45" spans="1:17" ht="12.75">
      <c r="A45" s="103"/>
      <c r="B45" s="2"/>
      <c r="C45" s="2"/>
      <c r="Q45" s="2"/>
    </row>
    <row r="46" spans="1:17" ht="12.75">
      <c r="A46" s="2"/>
      <c r="B46" s="2"/>
      <c r="C46" s="2"/>
      <c r="Q46" s="2"/>
    </row>
    <row r="47" spans="1:17" ht="12.75">
      <c r="A47" s="103"/>
      <c r="B47" s="15"/>
      <c r="C47" s="2"/>
      <c r="Q47" s="15"/>
    </row>
    <row r="48" spans="1:17" ht="12.75">
      <c r="A48" s="2"/>
      <c r="B48" s="2"/>
      <c r="C48" s="2"/>
      <c r="Q48" s="104"/>
    </row>
    <row r="49" spans="1:3" ht="12.75">
      <c r="A49" s="2"/>
      <c r="B49" s="2"/>
      <c r="C49" s="2"/>
    </row>
  </sheetData>
  <mergeCells count="88">
    <mergeCell ref="B31:C31"/>
    <mergeCell ref="E31:F31"/>
    <mergeCell ref="N31:O31"/>
    <mergeCell ref="Q31:R31"/>
    <mergeCell ref="A3:L3"/>
    <mergeCell ref="Q24:R24"/>
    <mergeCell ref="Q25:R25"/>
    <mergeCell ref="M3:Z3"/>
    <mergeCell ref="Q22:R22"/>
    <mergeCell ref="Q23:R23"/>
    <mergeCell ref="B21:C21"/>
    <mergeCell ref="N21:O21"/>
    <mergeCell ref="B22:C22"/>
    <mergeCell ref="N22:O22"/>
    <mergeCell ref="E5:F5"/>
    <mergeCell ref="Q16:R16"/>
    <mergeCell ref="E17:F17"/>
    <mergeCell ref="N17:O17"/>
    <mergeCell ref="Q17:R17"/>
    <mergeCell ref="Q5:R5"/>
    <mergeCell ref="N15:O15"/>
    <mergeCell ref="Q15:R15"/>
    <mergeCell ref="N13:O13"/>
    <mergeCell ref="Q13:R13"/>
    <mergeCell ref="N30:O30"/>
    <mergeCell ref="B29:C29"/>
    <mergeCell ref="E29:F29"/>
    <mergeCell ref="Q7:R7"/>
    <mergeCell ref="N8:O8"/>
    <mergeCell ref="Q8:R8"/>
    <mergeCell ref="Q30:R30"/>
    <mergeCell ref="B30:C30"/>
    <mergeCell ref="E30:F30"/>
    <mergeCell ref="Q29:R29"/>
    <mergeCell ref="N29:O29"/>
    <mergeCell ref="N27:O27"/>
    <mergeCell ref="Q27:R27"/>
    <mergeCell ref="B27:C27"/>
    <mergeCell ref="E27:F27"/>
    <mergeCell ref="N28:O28"/>
    <mergeCell ref="Q28:R28"/>
    <mergeCell ref="B28:C28"/>
    <mergeCell ref="E28:F28"/>
    <mergeCell ref="N26:O26"/>
    <mergeCell ref="Q26:R26"/>
    <mergeCell ref="B26:C26"/>
    <mergeCell ref="E26:F26"/>
    <mergeCell ref="E25:F25"/>
    <mergeCell ref="E24:F24"/>
    <mergeCell ref="E23:F23"/>
    <mergeCell ref="E22:F22"/>
    <mergeCell ref="N20:O20"/>
    <mergeCell ref="B20:C20"/>
    <mergeCell ref="B18:C18"/>
    <mergeCell ref="B19:C19"/>
    <mergeCell ref="N18:O18"/>
    <mergeCell ref="N19:O19"/>
    <mergeCell ref="B16:C16"/>
    <mergeCell ref="B17:C17"/>
    <mergeCell ref="E16:F16"/>
    <mergeCell ref="N16:O16"/>
    <mergeCell ref="B15:C15"/>
    <mergeCell ref="E15:F15"/>
    <mergeCell ref="N14:O14"/>
    <mergeCell ref="Q14:R14"/>
    <mergeCell ref="B14:C14"/>
    <mergeCell ref="E14:F14"/>
    <mergeCell ref="B13:C13"/>
    <mergeCell ref="E13:F13"/>
    <mergeCell ref="N12:O12"/>
    <mergeCell ref="Q12:R12"/>
    <mergeCell ref="B12:C12"/>
    <mergeCell ref="E12:F12"/>
    <mergeCell ref="N11:O11"/>
    <mergeCell ref="Q11:R11"/>
    <mergeCell ref="B11:C11"/>
    <mergeCell ref="E11:F11"/>
    <mergeCell ref="Q9:R9"/>
    <mergeCell ref="B9:C9"/>
    <mergeCell ref="E9:F9"/>
    <mergeCell ref="N10:O10"/>
    <mergeCell ref="Q10:R10"/>
    <mergeCell ref="B10:C10"/>
    <mergeCell ref="E10:F10"/>
    <mergeCell ref="B8:C8"/>
    <mergeCell ref="E8:F8"/>
    <mergeCell ref="E7:F7"/>
    <mergeCell ref="N9:O9"/>
  </mergeCells>
  <printOptions/>
  <pageMargins left="0.31496062992125984" right="0" top="0.31496062992125984" bottom="0" header="0.5118110236220472" footer="0.5118110236220472"/>
  <pageSetup horizontalDpi="600" verticalDpi="600" orientation="landscape" paperSize="9" scale="70" r:id="rId2"/>
  <colBreaks count="1" manualBreakCount="1">
    <brk id="12" max="38" man="1"/>
  </colBreaks>
  <drawing r:id="rId1"/>
</worksheet>
</file>

<file path=xl/worksheets/sheet6.xml><?xml version="1.0" encoding="utf-8"?>
<worksheet xmlns="http://schemas.openxmlformats.org/spreadsheetml/2006/main" xmlns:r="http://schemas.openxmlformats.org/officeDocument/2006/relationships">
  <dimension ref="A1:Z49"/>
  <sheetViews>
    <sheetView view="pageBreakPreview" zoomScaleNormal="140" zoomScaleSheetLayoutView="100" workbookViewId="0" topLeftCell="A1">
      <selection activeCell="I1" sqref="I1"/>
    </sheetView>
  </sheetViews>
  <sheetFormatPr defaultColWidth="11.421875" defaultRowHeight="12.75" outlineLevelRow="1"/>
  <cols>
    <col min="1" max="1" width="18.00390625" style="1" customWidth="1"/>
    <col min="2" max="2" width="42.28125" style="1" customWidth="1"/>
    <col min="3" max="3" width="5.7109375" style="1" customWidth="1"/>
    <col min="4" max="4" width="4.140625" style="1" customWidth="1"/>
    <col min="5" max="5" width="5.140625" style="2" customWidth="1"/>
    <col min="6" max="6" width="24.421875" style="2" customWidth="1"/>
    <col min="7" max="7" width="5.7109375" style="2" customWidth="1"/>
    <col min="8" max="8" width="13.421875" style="2" customWidth="1"/>
    <col min="9" max="9" width="30.421875" style="1" customWidth="1"/>
    <col min="10" max="10" width="25.8515625" style="1" customWidth="1"/>
    <col min="11" max="11" width="18.7109375" style="1" customWidth="1"/>
    <col min="12" max="12" width="4.421875" style="1" customWidth="1"/>
    <col min="13" max="13" width="19.421875" style="1" customWidth="1"/>
    <col min="14" max="14" width="44.421875" style="1" customWidth="1"/>
    <col min="15" max="16" width="5.28125" style="1" customWidth="1"/>
    <col min="17" max="17" width="6.140625" style="51" customWidth="1"/>
    <col min="18" max="18" width="20.57421875" style="51" customWidth="1"/>
    <col min="19" max="19" width="7.421875" style="1" customWidth="1"/>
    <col min="20" max="20" width="11.57421875" style="1" customWidth="1"/>
    <col min="21" max="21" width="25.8515625" style="1" customWidth="1"/>
    <col min="22" max="22" width="11.421875" style="1" customWidth="1"/>
    <col min="23" max="23" width="6.140625" style="1" customWidth="1"/>
    <col min="24" max="25" width="11.421875" style="1" customWidth="1"/>
    <col min="26" max="26" width="7.28125" style="1" customWidth="1"/>
    <col min="27" max="16384" width="11.421875" style="1" customWidth="1"/>
  </cols>
  <sheetData>
    <row r="1" spans="12:26" ht="26.25" customHeight="1">
      <c r="L1" s="196" t="s">
        <v>240</v>
      </c>
      <c r="Z1" s="196" t="s">
        <v>239</v>
      </c>
    </row>
    <row r="2" ht="6.75" customHeight="1">
      <c r="A2" s="93"/>
    </row>
    <row r="3" spans="1:26" s="2" customFormat="1" ht="93" customHeight="1">
      <c r="A3" s="198" t="s">
        <v>234</v>
      </c>
      <c r="B3" s="198"/>
      <c r="C3" s="198"/>
      <c r="D3" s="198"/>
      <c r="E3" s="198"/>
      <c r="F3" s="198"/>
      <c r="G3" s="198"/>
      <c r="H3" s="198"/>
      <c r="I3" s="198"/>
      <c r="J3" s="198"/>
      <c r="K3" s="198"/>
      <c r="L3" s="198"/>
      <c r="M3" s="200" t="s">
        <v>230</v>
      </c>
      <c r="N3" s="200"/>
      <c r="O3" s="200"/>
      <c r="P3" s="200"/>
      <c r="Q3" s="200"/>
      <c r="R3" s="200"/>
      <c r="S3" s="200"/>
      <c r="T3" s="200"/>
      <c r="U3" s="200"/>
      <c r="V3" s="200"/>
      <c r="W3" s="200"/>
      <c r="X3" s="200"/>
      <c r="Y3" s="200"/>
      <c r="Z3" s="200"/>
    </row>
    <row r="4" spans="1:18" s="2" customFormat="1" ht="19.5" customHeight="1" thickBot="1">
      <c r="A4" s="93"/>
      <c r="B4" s="1"/>
      <c r="C4" s="1"/>
      <c r="D4" s="18"/>
      <c r="Q4" s="86"/>
      <c r="R4" s="86"/>
    </row>
    <row r="5" spans="2:21" s="2" customFormat="1" ht="17.25" customHeight="1" thickBot="1">
      <c r="B5" s="18"/>
      <c r="C5" s="18"/>
      <c r="D5" s="71"/>
      <c r="E5" s="219" t="s">
        <v>1</v>
      </c>
      <c r="F5" s="221"/>
      <c r="I5" s="76" t="s">
        <v>2</v>
      </c>
      <c r="J5" s="77"/>
      <c r="K5" s="106"/>
      <c r="L5" s="106"/>
      <c r="M5" s="106"/>
      <c r="N5" s="106"/>
      <c r="O5" s="106"/>
      <c r="P5" s="106"/>
      <c r="Q5" s="219" t="s">
        <v>82</v>
      </c>
      <c r="R5" s="221"/>
      <c r="U5" s="76" t="s">
        <v>83</v>
      </c>
    </row>
    <row r="6" spans="7:18" ht="6.75" customHeight="1">
      <c r="G6" s="32"/>
      <c r="R6" s="18"/>
    </row>
    <row r="7" spans="2:21" s="2" customFormat="1" ht="48" customHeight="1">
      <c r="B7" s="67"/>
      <c r="E7" s="230" t="s">
        <v>106</v>
      </c>
      <c r="F7" s="230"/>
      <c r="G7" s="33"/>
      <c r="H7" s="159" t="s">
        <v>178</v>
      </c>
      <c r="I7" s="172" t="s">
        <v>106</v>
      </c>
      <c r="J7" s="59"/>
      <c r="K7" s="59"/>
      <c r="L7" s="59"/>
      <c r="M7" s="59"/>
      <c r="N7" s="59"/>
      <c r="O7" s="59"/>
      <c r="P7" s="59"/>
      <c r="Q7" s="226" t="s">
        <v>198</v>
      </c>
      <c r="R7" s="226"/>
      <c r="S7" s="33"/>
      <c r="T7" s="159" t="s">
        <v>193</v>
      </c>
      <c r="U7" s="114" t="s">
        <v>198</v>
      </c>
    </row>
    <row r="8" spans="2:21" ht="28.5" customHeight="1">
      <c r="B8" s="229" t="s">
        <v>0</v>
      </c>
      <c r="C8" s="229"/>
      <c r="D8" s="14"/>
      <c r="E8" s="227">
        <f>E9+E10+E11+E12+E13+E14+E15</f>
        <v>6571.924935897436</v>
      </c>
      <c r="F8" s="228"/>
      <c r="G8" s="34"/>
      <c r="H8" s="21">
        <v>13</v>
      </c>
      <c r="I8" s="25">
        <f>(E8)*13</f>
        <v>85435.02416666667</v>
      </c>
      <c r="J8" s="19"/>
      <c r="K8" s="19"/>
      <c r="L8" s="19"/>
      <c r="M8" s="19"/>
      <c r="N8" s="229" t="s">
        <v>23</v>
      </c>
      <c r="O8" s="229"/>
      <c r="P8" s="19"/>
      <c r="Q8" s="227">
        <f aca="true" t="shared" si="0" ref="Q8:Q16">E8</f>
        <v>6571.924935897436</v>
      </c>
      <c r="R8" s="228"/>
      <c r="S8" s="34"/>
      <c r="T8" s="21">
        <v>13</v>
      </c>
      <c r="U8" s="25">
        <f>I8</f>
        <v>85435.02416666667</v>
      </c>
    </row>
    <row r="9" spans="2:21" ht="15" customHeight="1">
      <c r="B9" s="222" t="s">
        <v>61</v>
      </c>
      <c r="C9" s="223"/>
      <c r="D9" s="16"/>
      <c r="E9" s="224">
        <v>2399.2</v>
      </c>
      <c r="F9" s="225"/>
      <c r="G9" s="35"/>
      <c r="H9" s="20"/>
      <c r="I9" s="12">
        <f aca="true" t="shared" si="1" ref="I9:I17">E9*13</f>
        <v>31189.6</v>
      </c>
      <c r="J9" s="60"/>
      <c r="K9" s="60"/>
      <c r="L9" s="60"/>
      <c r="M9" s="60"/>
      <c r="N9" s="222" t="s">
        <v>80</v>
      </c>
      <c r="O9" s="223"/>
      <c r="P9" s="60"/>
      <c r="Q9" s="224">
        <f t="shared" si="0"/>
        <v>2399.2</v>
      </c>
      <c r="R9" s="225"/>
      <c r="S9" s="107"/>
      <c r="T9" s="20"/>
      <c r="U9" s="12">
        <f aca="true" t="shared" si="2" ref="U9:U17">Q9*13</f>
        <v>31189.6</v>
      </c>
    </row>
    <row r="10" spans="2:21" ht="15" customHeight="1">
      <c r="B10" s="222" t="s">
        <v>100</v>
      </c>
      <c r="C10" s="223"/>
      <c r="D10" s="16"/>
      <c r="E10" s="224">
        <f>2831.05-E9</f>
        <v>431.85000000000036</v>
      </c>
      <c r="F10" s="225"/>
      <c r="G10" s="35"/>
      <c r="H10" s="20"/>
      <c r="I10" s="12">
        <f t="shared" si="1"/>
        <v>5614.050000000005</v>
      </c>
      <c r="J10" s="60"/>
      <c r="K10" s="60"/>
      <c r="L10" s="60"/>
      <c r="M10" s="60"/>
      <c r="N10" s="222" t="s">
        <v>101</v>
      </c>
      <c r="O10" s="223"/>
      <c r="P10" s="60"/>
      <c r="Q10" s="224">
        <f t="shared" si="0"/>
        <v>431.85000000000036</v>
      </c>
      <c r="R10" s="225"/>
      <c r="S10" s="107"/>
      <c r="T10" s="20"/>
      <c r="U10" s="12">
        <f t="shared" si="2"/>
        <v>5614.050000000005</v>
      </c>
    </row>
    <row r="11" spans="2:21" ht="15" customHeight="1">
      <c r="B11" s="222" t="s">
        <v>97</v>
      </c>
      <c r="C11" s="223"/>
      <c r="D11" s="16"/>
      <c r="E11" s="224">
        <v>848.14</v>
      </c>
      <c r="F11" s="225"/>
      <c r="G11" s="35"/>
      <c r="H11" s="20"/>
      <c r="I11" s="12">
        <f t="shared" si="1"/>
        <v>11025.82</v>
      </c>
      <c r="J11" s="60"/>
      <c r="K11" s="60"/>
      <c r="L11" s="60"/>
      <c r="M11" s="60"/>
      <c r="N11" s="222" t="s">
        <v>24</v>
      </c>
      <c r="O11" s="223"/>
      <c r="P11" s="60"/>
      <c r="Q11" s="224">
        <f t="shared" si="0"/>
        <v>848.14</v>
      </c>
      <c r="R11" s="225"/>
      <c r="S11" s="35"/>
      <c r="T11" s="20"/>
      <c r="U11" s="12">
        <f t="shared" si="2"/>
        <v>11025.82</v>
      </c>
    </row>
    <row r="12" spans="2:21" ht="15" customHeight="1">
      <c r="B12" s="222" t="s">
        <v>98</v>
      </c>
      <c r="C12" s="223"/>
      <c r="D12" s="16"/>
      <c r="E12" s="224">
        <f>4747.44/12</f>
        <v>395.61999999999995</v>
      </c>
      <c r="F12" s="225"/>
      <c r="G12" s="35"/>
      <c r="H12" s="20"/>
      <c r="I12" s="12">
        <f t="shared" si="1"/>
        <v>5143.0599999999995</v>
      </c>
      <c r="J12" s="60"/>
      <c r="K12" s="60"/>
      <c r="L12" s="60"/>
      <c r="M12" s="60"/>
      <c r="N12" s="222" t="s">
        <v>25</v>
      </c>
      <c r="O12" s="223"/>
      <c r="P12" s="60"/>
      <c r="Q12" s="224">
        <f t="shared" si="0"/>
        <v>395.61999999999995</v>
      </c>
      <c r="R12" s="225"/>
      <c r="S12" s="35"/>
      <c r="T12" s="20"/>
      <c r="U12" s="12">
        <f t="shared" si="2"/>
        <v>5143.0599999999995</v>
      </c>
    </row>
    <row r="13" spans="2:21" ht="15" customHeight="1">
      <c r="B13" s="222" t="s">
        <v>21</v>
      </c>
      <c r="C13" s="223"/>
      <c r="D13" s="16"/>
      <c r="E13" s="224">
        <f>14370.17/12</f>
        <v>1197.5141666666666</v>
      </c>
      <c r="F13" s="225"/>
      <c r="G13" s="35"/>
      <c r="H13" s="20"/>
      <c r="I13" s="12">
        <f t="shared" si="1"/>
        <v>15567.684166666666</v>
      </c>
      <c r="J13" s="60"/>
      <c r="K13" s="60"/>
      <c r="L13" s="60"/>
      <c r="M13" s="60"/>
      <c r="N13" s="222" t="s">
        <v>26</v>
      </c>
      <c r="O13" s="223"/>
      <c r="P13" s="60"/>
      <c r="Q13" s="224">
        <f t="shared" si="0"/>
        <v>1197.5141666666666</v>
      </c>
      <c r="R13" s="225"/>
      <c r="S13" s="35"/>
      <c r="T13" s="20"/>
      <c r="U13" s="12">
        <f t="shared" si="2"/>
        <v>15567.684166666666</v>
      </c>
    </row>
    <row r="14" spans="1:21" ht="15" customHeight="1">
      <c r="A14" s="88" t="s">
        <v>121</v>
      </c>
      <c r="B14" s="222" t="s">
        <v>85</v>
      </c>
      <c r="C14" s="223"/>
      <c r="D14" s="16"/>
      <c r="E14" s="204">
        <v>600</v>
      </c>
      <c r="F14" s="204"/>
      <c r="G14" s="35"/>
      <c r="H14" s="20"/>
      <c r="I14" s="12">
        <f t="shared" si="1"/>
        <v>7800</v>
      </c>
      <c r="J14" s="60"/>
      <c r="K14" s="60"/>
      <c r="L14" s="60"/>
      <c r="M14" s="88" t="s">
        <v>123</v>
      </c>
      <c r="N14" s="222" t="s">
        <v>27</v>
      </c>
      <c r="O14" s="223"/>
      <c r="P14" s="60"/>
      <c r="Q14" s="224">
        <f t="shared" si="0"/>
        <v>600</v>
      </c>
      <c r="R14" s="225"/>
      <c r="S14" s="35"/>
      <c r="T14" s="20"/>
      <c r="U14" s="12">
        <f t="shared" si="2"/>
        <v>7800</v>
      </c>
    </row>
    <row r="15" spans="1:21" ht="15" customHeight="1">
      <c r="A15" s="88" t="s">
        <v>116</v>
      </c>
      <c r="B15" s="222" t="s">
        <v>41</v>
      </c>
      <c r="C15" s="223"/>
      <c r="D15" s="16"/>
      <c r="E15" s="224">
        <f>(9094.81)/13</f>
        <v>699.6007692307692</v>
      </c>
      <c r="F15" s="225"/>
      <c r="G15" s="35"/>
      <c r="H15" s="20"/>
      <c r="I15" s="12">
        <f t="shared" si="1"/>
        <v>9094.81</v>
      </c>
      <c r="J15" s="60"/>
      <c r="K15" s="60"/>
      <c r="L15" s="60"/>
      <c r="M15" s="88" t="s">
        <v>117</v>
      </c>
      <c r="N15" s="222" t="s">
        <v>44</v>
      </c>
      <c r="O15" s="223"/>
      <c r="P15" s="60"/>
      <c r="Q15" s="224">
        <f t="shared" si="0"/>
        <v>699.6007692307692</v>
      </c>
      <c r="R15" s="225"/>
      <c r="S15" s="35"/>
      <c r="T15" s="20"/>
      <c r="U15" s="12">
        <f t="shared" si="2"/>
        <v>9094.81</v>
      </c>
    </row>
    <row r="16" spans="1:21" ht="15" customHeight="1" hidden="1" outlineLevel="1">
      <c r="A16" s="88"/>
      <c r="B16" s="222" t="s">
        <v>22</v>
      </c>
      <c r="C16" s="223"/>
      <c r="D16" s="16"/>
      <c r="E16" s="224" t="e">
        <f>IF(#REF!&gt;0,#REF!,0)</f>
        <v>#REF!</v>
      </c>
      <c r="F16" s="225"/>
      <c r="G16" s="35"/>
      <c r="H16" s="20"/>
      <c r="I16" s="12" t="e">
        <f t="shared" si="1"/>
        <v>#REF!</v>
      </c>
      <c r="J16" s="60"/>
      <c r="K16" s="60"/>
      <c r="L16" s="60"/>
      <c r="M16" s="88" t="s">
        <v>75</v>
      </c>
      <c r="N16" s="222" t="s">
        <v>28</v>
      </c>
      <c r="O16" s="223"/>
      <c r="P16" s="60"/>
      <c r="Q16" s="224" t="e">
        <f t="shared" si="0"/>
        <v>#REF!</v>
      </c>
      <c r="R16" s="225"/>
      <c r="S16" s="35"/>
      <c r="T16" s="20"/>
      <c r="U16" s="12" t="e">
        <f t="shared" si="2"/>
        <v>#REF!</v>
      </c>
    </row>
    <row r="17" spans="2:21" ht="28.5" customHeight="1" collapsed="1">
      <c r="B17" s="209" t="s">
        <v>4</v>
      </c>
      <c r="C17" s="210"/>
      <c r="D17" s="14"/>
      <c r="E17" s="227">
        <f>F18</f>
        <v>0</v>
      </c>
      <c r="F17" s="228"/>
      <c r="G17" s="34"/>
      <c r="H17" s="21">
        <v>13</v>
      </c>
      <c r="I17" s="26">
        <f t="shared" si="1"/>
        <v>0</v>
      </c>
      <c r="J17" s="19"/>
      <c r="K17" s="19"/>
      <c r="L17" s="19"/>
      <c r="N17" s="209" t="s">
        <v>29</v>
      </c>
      <c r="O17" s="210"/>
      <c r="P17" s="19"/>
      <c r="Q17" s="227">
        <f>R18</f>
        <v>0</v>
      </c>
      <c r="R17" s="228"/>
      <c r="S17" s="34"/>
      <c r="T17" s="21">
        <v>13</v>
      </c>
      <c r="U17" s="26">
        <f t="shared" si="2"/>
        <v>0</v>
      </c>
    </row>
    <row r="18" spans="2:21" ht="15" customHeight="1">
      <c r="B18" s="222" t="s">
        <v>5</v>
      </c>
      <c r="C18" s="223"/>
      <c r="D18" s="16"/>
      <c r="E18" s="9"/>
      <c r="F18" s="5"/>
      <c r="G18" s="36"/>
      <c r="I18" s="12"/>
      <c r="J18" s="60"/>
      <c r="K18" s="60"/>
      <c r="L18" s="60"/>
      <c r="M18" s="60"/>
      <c r="N18" s="222" t="s">
        <v>30</v>
      </c>
      <c r="O18" s="223"/>
      <c r="P18" s="60"/>
      <c r="Q18" s="9"/>
      <c r="R18" s="5"/>
      <c r="S18" s="36"/>
      <c r="T18" s="2"/>
      <c r="U18" s="12"/>
    </row>
    <row r="19" spans="2:21" ht="15" customHeight="1">
      <c r="B19" s="222" t="s">
        <v>92</v>
      </c>
      <c r="C19" s="223"/>
      <c r="D19" s="16"/>
      <c r="E19" s="4"/>
      <c r="F19" s="5"/>
      <c r="G19" s="36"/>
      <c r="H19" s="62"/>
      <c r="I19" s="12"/>
      <c r="J19" s="60"/>
      <c r="K19" s="60"/>
      <c r="L19" s="60"/>
      <c r="M19" s="60"/>
      <c r="N19" s="222" t="s">
        <v>91</v>
      </c>
      <c r="O19" s="223"/>
      <c r="P19" s="60"/>
      <c r="Q19" s="4"/>
      <c r="R19" s="5"/>
      <c r="S19" s="36"/>
      <c r="T19" s="62"/>
      <c r="U19" s="12"/>
    </row>
    <row r="20" spans="2:21" ht="15" customHeight="1">
      <c r="B20" s="222" t="s">
        <v>6</v>
      </c>
      <c r="C20" s="223"/>
      <c r="D20" s="16"/>
      <c r="E20" s="4"/>
      <c r="F20" s="5"/>
      <c r="G20" s="36"/>
      <c r="I20" s="12"/>
      <c r="J20" s="60"/>
      <c r="K20" s="60"/>
      <c r="L20" s="60"/>
      <c r="M20" s="60"/>
      <c r="N20" s="222" t="s">
        <v>31</v>
      </c>
      <c r="O20" s="223"/>
      <c r="P20" s="60"/>
      <c r="Q20" s="4"/>
      <c r="R20" s="5"/>
      <c r="S20" s="36"/>
      <c r="T20" s="2"/>
      <c r="U20" s="12"/>
    </row>
    <row r="21" spans="2:21" ht="15" customHeight="1" hidden="1" outlineLevel="1">
      <c r="B21" s="222" t="s">
        <v>66</v>
      </c>
      <c r="C21" s="223"/>
      <c r="D21" s="16"/>
      <c r="E21" s="5"/>
      <c r="F21" s="5"/>
      <c r="G21" s="36"/>
      <c r="I21" s="12"/>
      <c r="J21" s="60"/>
      <c r="K21" s="60"/>
      <c r="L21" s="60"/>
      <c r="M21" s="60"/>
      <c r="N21" s="222" t="s">
        <v>32</v>
      </c>
      <c r="O21" s="223"/>
      <c r="P21" s="60"/>
      <c r="Q21" s="5"/>
      <c r="R21" s="5"/>
      <c r="S21" s="36"/>
      <c r="T21" s="2"/>
      <c r="U21" s="12"/>
    </row>
    <row r="22" spans="2:21" ht="28.5" customHeight="1" collapsed="1">
      <c r="B22" s="209" t="s">
        <v>7</v>
      </c>
      <c r="C22" s="210"/>
      <c r="D22" s="14"/>
      <c r="E22" s="227">
        <f>E23</f>
        <v>0</v>
      </c>
      <c r="F22" s="228"/>
      <c r="G22" s="34"/>
      <c r="H22" s="21">
        <v>12</v>
      </c>
      <c r="I22" s="25">
        <f>E22*12</f>
        <v>0</v>
      </c>
      <c r="J22" s="22"/>
      <c r="K22" s="22"/>
      <c r="L22" s="22"/>
      <c r="M22" s="22"/>
      <c r="N22" s="209" t="s">
        <v>33</v>
      </c>
      <c r="O22" s="210"/>
      <c r="P22" s="22"/>
      <c r="Q22" s="227">
        <f>Q23</f>
        <v>0</v>
      </c>
      <c r="R22" s="228"/>
      <c r="S22" s="34"/>
      <c r="T22" s="21">
        <v>12</v>
      </c>
      <c r="U22" s="25">
        <f>Q22*12</f>
        <v>0</v>
      </c>
    </row>
    <row r="23" spans="2:21" ht="15" customHeight="1">
      <c r="B23" s="17" t="s">
        <v>90</v>
      </c>
      <c r="C23" s="7">
        <v>0</v>
      </c>
      <c r="D23" s="16"/>
      <c r="E23" s="224">
        <v>0</v>
      </c>
      <c r="F23" s="225"/>
      <c r="G23" s="63"/>
      <c r="I23" s="12">
        <v>0</v>
      </c>
      <c r="J23" s="22"/>
      <c r="K23" s="22"/>
      <c r="L23" s="22"/>
      <c r="M23" s="22"/>
      <c r="N23" s="17" t="s">
        <v>89</v>
      </c>
      <c r="O23" s="7">
        <v>0</v>
      </c>
      <c r="P23" s="22"/>
      <c r="Q23" s="224">
        <v>0</v>
      </c>
      <c r="R23" s="225"/>
      <c r="S23" s="63"/>
      <c r="T23" s="2"/>
      <c r="U23" s="12">
        <v>0</v>
      </c>
    </row>
    <row r="24" spans="2:21" ht="15" customHeight="1" hidden="1" outlineLevel="1">
      <c r="B24" s="17" t="s">
        <v>45</v>
      </c>
      <c r="C24" s="11">
        <v>0</v>
      </c>
      <c r="D24" s="16"/>
      <c r="E24" s="214"/>
      <c r="F24" s="215"/>
      <c r="G24" s="63"/>
      <c r="I24" s="31"/>
      <c r="J24" s="64"/>
      <c r="K24" s="64"/>
      <c r="L24" s="64"/>
      <c r="M24" s="64"/>
      <c r="N24" s="17" t="s">
        <v>46</v>
      </c>
      <c r="O24" s="11">
        <f>C24</f>
        <v>0</v>
      </c>
      <c r="P24" s="64"/>
      <c r="Q24" s="214"/>
      <c r="R24" s="215"/>
      <c r="S24" s="63"/>
      <c r="T24" s="2"/>
      <c r="U24" s="31"/>
    </row>
    <row r="25" spans="2:21" ht="15" customHeight="1" collapsed="1">
      <c r="B25" s="17" t="s">
        <v>99</v>
      </c>
      <c r="C25" s="7"/>
      <c r="D25" s="16"/>
      <c r="E25" s="214"/>
      <c r="F25" s="215"/>
      <c r="G25" s="24"/>
      <c r="H25" s="24"/>
      <c r="I25" s="31"/>
      <c r="J25" s="22"/>
      <c r="K25" s="22"/>
      <c r="L25" s="22"/>
      <c r="M25" s="22"/>
      <c r="N25" s="17" t="s">
        <v>34</v>
      </c>
      <c r="O25" s="7"/>
      <c r="P25" s="22"/>
      <c r="Q25" s="214"/>
      <c r="R25" s="215"/>
      <c r="S25" s="24"/>
      <c r="T25" s="24"/>
      <c r="U25" s="31"/>
    </row>
    <row r="26" spans="2:21" ht="23.25" customHeight="1" hidden="1" outlineLevel="1">
      <c r="B26" s="209" t="s">
        <v>16</v>
      </c>
      <c r="C26" s="210"/>
      <c r="D26" s="16"/>
      <c r="E26" s="205"/>
      <c r="F26" s="206"/>
      <c r="G26" s="63"/>
      <c r="H26" s="21">
        <v>12</v>
      </c>
      <c r="I26" s="26"/>
      <c r="J26" s="19"/>
      <c r="K26" s="19"/>
      <c r="L26" s="19"/>
      <c r="M26" s="19"/>
      <c r="N26" s="209" t="s">
        <v>35</v>
      </c>
      <c r="O26" s="210"/>
      <c r="P26" s="19"/>
      <c r="Q26" s="205"/>
      <c r="R26" s="206"/>
      <c r="S26" s="63"/>
      <c r="T26" s="21">
        <v>12</v>
      </c>
      <c r="U26" s="26"/>
    </row>
    <row r="27" spans="2:21" ht="15" customHeight="1" hidden="1" outlineLevel="1">
      <c r="B27" s="222" t="s">
        <v>10</v>
      </c>
      <c r="C27" s="223"/>
      <c r="D27" s="18"/>
      <c r="E27" s="214"/>
      <c r="F27" s="215"/>
      <c r="G27" s="63"/>
      <c r="H27" s="21"/>
      <c r="I27" s="31"/>
      <c r="J27" s="68"/>
      <c r="K27" s="68"/>
      <c r="L27" s="68"/>
      <c r="M27" s="68"/>
      <c r="N27" s="222" t="s">
        <v>40</v>
      </c>
      <c r="O27" s="223"/>
      <c r="P27" s="68"/>
      <c r="Q27" s="214"/>
      <c r="R27" s="215"/>
      <c r="S27" s="63"/>
      <c r="T27" s="21"/>
      <c r="U27" s="31"/>
    </row>
    <row r="28" spans="2:21" ht="15" customHeight="1" hidden="1" outlineLevel="1">
      <c r="B28" s="222" t="s">
        <v>11</v>
      </c>
      <c r="C28" s="223"/>
      <c r="D28" s="18"/>
      <c r="E28" s="214"/>
      <c r="F28" s="215"/>
      <c r="G28" s="63"/>
      <c r="I28" s="31"/>
      <c r="J28" s="68"/>
      <c r="K28" s="68"/>
      <c r="L28" s="68"/>
      <c r="M28" s="68"/>
      <c r="N28" s="222" t="s">
        <v>36</v>
      </c>
      <c r="O28" s="223"/>
      <c r="P28" s="68"/>
      <c r="Q28" s="214"/>
      <c r="R28" s="215"/>
      <c r="S28" s="63"/>
      <c r="T28" s="2"/>
      <c r="U28" s="31"/>
    </row>
    <row r="29" spans="2:21" ht="15" customHeight="1" hidden="1" outlineLevel="1">
      <c r="B29" s="222" t="s">
        <v>12</v>
      </c>
      <c r="C29" s="223"/>
      <c r="D29" s="18"/>
      <c r="E29" s="214"/>
      <c r="F29" s="215"/>
      <c r="G29" s="63"/>
      <c r="I29" s="31"/>
      <c r="J29" s="68"/>
      <c r="K29" s="68"/>
      <c r="L29" s="68"/>
      <c r="M29" s="68"/>
      <c r="N29" s="222" t="s">
        <v>37</v>
      </c>
      <c r="O29" s="223"/>
      <c r="P29" s="68"/>
      <c r="Q29" s="214"/>
      <c r="R29" s="215"/>
      <c r="S29" s="63"/>
      <c r="T29" s="2"/>
      <c r="U29" s="31"/>
    </row>
    <row r="30" spans="2:21" ht="15" customHeight="1" hidden="1" outlineLevel="1">
      <c r="B30" s="222" t="s">
        <v>13</v>
      </c>
      <c r="C30" s="223"/>
      <c r="D30" s="18"/>
      <c r="E30" s="214"/>
      <c r="F30" s="215"/>
      <c r="G30" s="63"/>
      <c r="I30" s="31"/>
      <c r="J30" s="68"/>
      <c r="K30" s="68"/>
      <c r="L30" s="68"/>
      <c r="M30" s="68"/>
      <c r="N30" s="222" t="s">
        <v>38</v>
      </c>
      <c r="O30" s="223"/>
      <c r="P30" s="68"/>
      <c r="Q30" s="214"/>
      <c r="R30" s="215"/>
      <c r="S30" s="63"/>
      <c r="T30" s="2"/>
      <c r="U30" s="31"/>
    </row>
    <row r="31" spans="2:21" ht="28.5" customHeight="1" collapsed="1">
      <c r="B31" s="207" t="s">
        <v>42</v>
      </c>
      <c r="C31" s="208"/>
      <c r="D31" s="18"/>
      <c r="E31" s="217">
        <f>E8+E17+E22</f>
        <v>6571.924935897436</v>
      </c>
      <c r="F31" s="218"/>
      <c r="G31" s="34"/>
      <c r="H31" s="13"/>
      <c r="I31" s="37">
        <f>I8+I17+I22</f>
        <v>85435.02416666667</v>
      </c>
      <c r="J31" s="29"/>
      <c r="K31" s="30"/>
      <c r="L31" s="30"/>
      <c r="M31" s="30"/>
      <c r="N31" s="207" t="s">
        <v>43</v>
      </c>
      <c r="O31" s="208"/>
      <c r="P31" s="30"/>
      <c r="Q31" s="217">
        <f>Q8+Q17+Q22</f>
        <v>6571.924935897436</v>
      </c>
      <c r="R31" s="218"/>
      <c r="S31" s="34"/>
      <c r="T31" s="13"/>
      <c r="U31" s="37">
        <f>U8+U17+U22</f>
        <v>85435.02416666667</v>
      </c>
    </row>
    <row r="32" spans="5:7" ht="12.75" customHeight="1">
      <c r="E32" s="1"/>
      <c r="F32" s="1"/>
      <c r="G32" s="63"/>
    </row>
    <row r="33" spans="1:15" ht="12.75" customHeight="1">
      <c r="A33" s="88" t="s">
        <v>62</v>
      </c>
      <c r="B33" s="1" t="s">
        <v>88</v>
      </c>
      <c r="E33" s="1"/>
      <c r="F33" s="1"/>
      <c r="G33" s="63"/>
      <c r="M33" s="88" t="s">
        <v>62</v>
      </c>
      <c r="N33" s="1" t="s">
        <v>207</v>
      </c>
      <c r="O33" s="51"/>
    </row>
    <row r="34" spans="1:15" ht="12.75" customHeight="1">
      <c r="A34" s="88"/>
      <c r="E34" s="1"/>
      <c r="F34" s="1"/>
      <c r="M34" s="88"/>
      <c r="O34" s="51"/>
    </row>
    <row r="35" spans="1:15" ht="12.75" customHeight="1">
      <c r="A35" s="88" t="s">
        <v>63</v>
      </c>
      <c r="B35" s="1" t="s">
        <v>160</v>
      </c>
      <c r="M35" s="88" t="s">
        <v>63</v>
      </c>
      <c r="N35" s="1" t="s">
        <v>212</v>
      </c>
      <c r="O35" s="51"/>
    </row>
    <row r="36" spans="1:17" ht="12.75" customHeight="1">
      <c r="A36" s="88"/>
      <c r="Q36" s="1"/>
    </row>
    <row r="37" spans="1:17" ht="12.75">
      <c r="A37" s="103"/>
      <c r="B37" s="2"/>
      <c r="C37" s="2"/>
      <c r="Q37" s="2"/>
    </row>
    <row r="38" spans="1:17" ht="12.75">
      <c r="A38" s="2"/>
      <c r="B38" s="62"/>
      <c r="C38" s="2"/>
      <c r="Q38" s="62"/>
    </row>
    <row r="39" spans="1:17" ht="12.75">
      <c r="A39" s="2"/>
      <c r="B39" s="62"/>
      <c r="C39" s="2"/>
      <c r="Q39" s="62"/>
    </row>
    <row r="40" spans="1:17" ht="12.75">
      <c r="A40" s="2"/>
      <c r="B40" s="62"/>
      <c r="C40" s="2"/>
      <c r="Q40" s="62"/>
    </row>
    <row r="41" spans="1:17" ht="12.75">
      <c r="A41" s="2"/>
      <c r="B41" s="2"/>
      <c r="C41" s="2"/>
      <c r="Q41" s="2"/>
    </row>
    <row r="42" spans="1:17" ht="12.75">
      <c r="A42" s="2"/>
      <c r="B42" s="62"/>
      <c r="C42" s="2"/>
      <c r="Q42" s="62"/>
    </row>
    <row r="43" spans="1:17" ht="12.75">
      <c r="A43" s="103"/>
      <c r="B43" s="2"/>
      <c r="C43" s="2"/>
      <c r="Q43" s="2"/>
    </row>
    <row r="44" spans="1:17" ht="12.75">
      <c r="A44" s="103"/>
      <c r="B44" s="2"/>
      <c r="C44" s="2"/>
      <c r="Q44" s="2"/>
    </row>
    <row r="45" spans="1:17" ht="12.75">
      <c r="A45" s="103"/>
      <c r="B45" s="2"/>
      <c r="C45" s="2"/>
      <c r="Q45" s="2"/>
    </row>
    <row r="46" spans="1:17" ht="12.75">
      <c r="A46" s="2"/>
      <c r="B46" s="2"/>
      <c r="C46" s="2"/>
      <c r="Q46" s="2"/>
    </row>
    <row r="47" spans="1:17" ht="12.75">
      <c r="A47" s="103"/>
      <c r="B47" s="15"/>
      <c r="C47" s="2"/>
      <c r="Q47" s="15"/>
    </row>
    <row r="48" spans="1:17" ht="12.75">
      <c r="A48" s="2"/>
      <c r="B48" s="2"/>
      <c r="C48" s="2"/>
      <c r="Q48" s="104"/>
    </row>
    <row r="49" spans="1:3" ht="12.75">
      <c r="A49" s="2"/>
      <c r="B49" s="2"/>
      <c r="C49" s="2"/>
    </row>
  </sheetData>
  <mergeCells count="88">
    <mergeCell ref="B31:C31"/>
    <mergeCell ref="E31:F31"/>
    <mergeCell ref="N31:O31"/>
    <mergeCell ref="Q31:R31"/>
    <mergeCell ref="B30:C30"/>
    <mergeCell ref="E30:F30"/>
    <mergeCell ref="N30:O30"/>
    <mergeCell ref="Q30:R30"/>
    <mergeCell ref="B29:C29"/>
    <mergeCell ref="E29:F29"/>
    <mergeCell ref="N29:O29"/>
    <mergeCell ref="Q29:R29"/>
    <mergeCell ref="B28:C28"/>
    <mergeCell ref="E28:F28"/>
    <mergeCell ref="N28:O28"/>
    <mergeCell ref="Q28:R28"/>
    <mergeCell ref="B27:C27"/>
    <mergeCell ref="E27:F27"/>
    <mergeCell ref="N27:O27"/>
    <mergeCell ref="Q27:R27"/>
    <mergeCell ref="E25:F25"/>
    <mergeCell ref="Q25:R25"/>
    <mergeCell ref="B26:C26"/>
    <mergeCell ref="E26:F26"/>
    <mergeCell ref="N26:O26"/>
    <mergeCell ref="Q26:R26"/>
    <mergeCell ref="E23:F23"/>
    <mergeCell ref="Q23:R23"/>
    <mergeCell ref="E24:F24"/>
    <mergeCell ref="Q24:R24"/>
    <mergeCell ref="B22:C22"/>
    <mergeCell ref="E22:F22"/>
    <mergeCell ref="N22:O22"/>
    <mergeCell ref="Q22:R22"/>
    <mergeCell ref="B20:C20"/>
    <mergeCell ref="N20:O20"/>
    <mergeCell ref="B21:C21"/>
    <mergeCell ref="N21:O21"/>
    <mergeCell ref="B18:C18"/>
    <mergeCell ref="N18:O18"/>
    <mergeCell ref="B19:C19"/>
    <mergeCell ref="N19:O19"/>
    <mergeCell ref="B17:C17"/>
    <mergeCell ref="E17:F17"/>
    <mergeCell ref="N17:O17"/>
    <mergeCell ref="Q17:R17"/>
    <mergeCell ref="B16:C16"/>
    <mergeCell ref="E16:F16"/>
    <mergeCell ref="N16:O16"/>
    <mergeCell ref="Q16:R16"/>
    <mergeCell ref="B15:C15"/>
    <mergeCell ref="E15:F15"/>
    <mergeCell ref="N15:O15"/>
    <mergeCell ref="Q15:R15"/>
    <mergeCell ref="B14:C14"/>
    <mergeCell ref="E14:F14"/>
    <mergeCell ref="N14:O14"/>
    <mergeCell ref="Q14:R14"/>
    <mergeCell ref="B13:C13"/>
    <mergeCell ref="E13:F13"/>
    <mergeCell ref="N13:O13"/>
    <mergeCell ref="Q13:R13"/>
    <mergeCell ref="B12:C12"/>
    <mergeCell ref="E12:F12"/>
    <mergeCell ref="N12:O12"/>
    <mergeCell ref="Q12:R12"/>
    <mergeCell ref="B11:C11"/>
    <mergeCell ref="E11:F11"/>
    <mergeCell ref="N11:O11"/>
    <mergeCell ref="Q11:R11"/>
    <mergeCell ref="B10:C10"/>
    <mergeCell ref="E10:F10"/>
    <mergeCell ref="N10:O10"/>
    <mergeCell ref="Q10:R10"/>
    <mergeCell ref="B9:C9"/>
    <mergeCell ref="E9:F9"/>
    <mergeCell ref="N9:O9"/>
    <mergeCell ref="Q9:R9"/>
    <mergeCell ref="E7:F7"/>
    <mergeCell ref="Q7:R7"/>
    <mergeCell ref="B8:C8"/>
    <mergeCell ref="E8:F8"/>
    <mergeCell ref="N8:O8"/>
    <mergeCell ref="Q8:R8"/>
    <mergeCell ref="A3:L3"/>
    <mergeCell ref="M3:Z3"/>
    <mergeCell ref="E5:F5"/>
    <mergeCell ref="Q5:R5"/>
  </mergeCells>
  <printOptions/>
  <pageMargins left="0.31496062992125984" right="0" top="0.31496062992125984" bottom="0" header="0.5118110236220472" footer="0.511811023622047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Tabelle4"/>
  <dimension ref="A1:AC48"/>
  <sheetViews>
    <sheetView view="pageBreakPreview" zoomScaleSheetLayoutView="100" workbookViewId="0" topLeftCell="A1">
      <selection activeCell="A3" sqref="A3:R4"/>
    </sheetView>
  </sheetViews>
  <sheetFormatPr defaultColWidth="11.421875" defaultRowHeight="12.75" outlineLevelRow="1" outlineLevelCol="2"/>
  <cols>
    <col min="1" max="1" width="18.00390625" style="1" customWidth="1"/>
    <col min="2" max="2" width="40.8515625" style="1" customWidth="1"/>
    <col min="3" max="3" width="5.00390625" style="1" customWidth="1"/>
    <col min="4" max="4" width="4.140625" style="1" customWidth="1"/>
    <col min="5" max="5" width="6.28125" style="2" customWidth="1"/>
    <col min="6" max="6" width="23.8515625" style="2" customWidth="1"/>
    <col min="7" max="8" width="21.140625" style="2" hidden="1" customWidth="1" outlineLevel="1"/>
    <col min="9" max="9" width="8.7109375" style="2" hidden="1" customWidth="1" outlineLevel="2"/>
    <col min="10" max="10" width="21.140625" style="2" hidden="1" customWidth="1" outlineLevel="2"/>
    <col min="11" max="12" width="21.140625" style="2" hidden="1" customWidth="1" outlineLevel="1"/>
    <col min="13" max="13" width="10.140625" style="2" hidden="1" customWidth="1" outlineLevel="1"/>
    <col min="14" max="14" width="18.00390625" style="2" hidden="1" customWidth="1" outlineLevel="1"/>
    <col min="15" max="15" width="7.7109375" style="2" customWidth="1" collapsed="1"/>
    <col min="16" max="16" width="13.00390625" style="2" customWidth="1"/>
    <col min="17" max="17" width="29.28125" style="1" customWidth="1"/>
    <col min="18" max="18" width="43.7109375" style="1" customWidth="1"/>
    <col min="19" max="19" width="19.421875" style="1" customWidth="1"/>
    <col min="20" max="20" width="37.28125" style="51" customWidth="1"/>
    <col min="21" max="21" width="8.140625" style="51" customWidth="1"/>
    <col min="22" max="22" width="1.8515625" style="51" customWidth="1"/>
    <col min="23" max="23" width="7.28125" style="53" customWidth="1"/>
    <col min="24" max="24" width="20.421875" style="53" customWidth="1"/>
    <col min="25" max="25" width="12.140625" style="53" customWidth="1"/>
    <col min="26" max="26" width="13.28125" style="53" customWidth="1"/>
    <col min="27" max="27" width="32.7109375" style="52" customWidth="1"/>
    <col min="28" max="28" width="44.7109375" style="51" customWidth="1"/>
    <col min="29" max="29" width="1.28515625" style="1" customWidth="1"/>
    <col min="30" max="16384" width="11.421875" style="1" customWidth="1"/>
  </cols>
  <sheetData>
    <row r="1" spans="18:29" ht="26.25" customHeight="1">
      <c r="R1" s="196" t="s">
        <v>243</v>
      </c>
      <c r="AC1" s="196" t="s">
        <v>244</v>
      </c>
    </row>
    <row r="2" ht="6.75" customHeight="1"/>
    <row r="3" spans="1:29" s="2" customFormat="1" ht="13.5" customHeight="1">
      <c r="A3" s="200" t="s">
        <v>156</v>
      </c>
      <c r="B3" s="200"/>
      <c r="C3" s="200"/>
      <c r="D3" s="200"/>
      <c r="E3" s="200"/>
      <c r="F3" s="200"/>
      <c r="G3" s="200"/>
      <c r="H3" s="200"/>
      <c r="I3" s="200"/>
      <c r="J3" s="200"/>
      <c r="K3" s="200"/>
      <c r="L3" s="200"/>
      <c r="M3" s="200"/>
      <c r="N3" s="200"/>
      <c r="O3" s="200"/>
      <c r="P3" s="200"/>
      <c r="Q3" s="200"/>
      <c r="R3" s="200"/>
      <c r="S3" s="200" t="s">
        <v>227</v>
      </c>
      <c r="T3" s="200"/>
      <c r="U3" s="200"/>
      <c r="V3" s="200"/>
      <c r="W3" s="200"/>
      <c r="X3" s="200"/>
      <c r="Y3" s="200"/>
      <c r="Z3" s="200"/>
      <c r="AA3" s="200"/>
      <c r="AB3" s="200"/>
      <c r="AC3" s="200"/>
    </row>
    <row r="4" spans="1:29" s="2" customFormat="1" ht="66" customHeight="1">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row>
    <row r="5" spans="1:28" s="2" customFormat="1" ht="19.5" customHeight="1" thickBot="1">
      <c r="A5" s="193"/>
      <c r="B5" s="193"/>
      <c r="C5" s="193"/>
      <c r="D5" s="193"/>
      <c r="E5" s="193"/>
      <c r="F5" s="193"/>
      <c r="G5" s="193"/>
      <c r="H5" s="193"/>
      <c r="I5" s="193"/>
      <c r="J5" s="193"/>
      <c r="K5" s="193"/>
      <c r="L5" s="193"/>
      <c r="M5" s="193"/>
      <c r="N5" s="193"/>
      <c r="O5" s="193"/>
      <c r="P5" s="193"/>
      <c r="Q5" s="193"/>
      <c r="R5" s="193"/>
      <c r="T5" s="51"/>
      <c r="U5" s="18"/>
      <c r="V5" s="18"/>
      <c r="AA5" s="52"/>
      <c r="AB5" s="51"/>
    </row>
    <row r="6" spans="2:28" s="2" customFormat="1" ht="17.25" customHeight="1" thickBot="1">
      <c r="B6" s="18"/>
      <c r="C6" s="18"/>
      <c r="D6" s="71"/>
      <c r="E6" s="219" t="s">
        <v>1</v>
      </c>
      <c r="F6" s="221"/>
      <c r="G6" s="150"/>
      <c r="H6" s="150"/>
      <c r="I6" s="150"/>
      <c r="J6" s="150"/>
      <c r="K6" s="150"/>
      <c r="L6" s="150"/>
      <c r="M6" s="150"/>
      <c r="N6" s="150"/>
      <c r="P6" s="69"/>
      <c r="Q6" s="76" t="s">
        <v>2</v>
      </c>
      <c r="R6" s="77"/>
      <c r="T6" s="18"/>
      <c r="U6" s="18"/>
      <c r="V6" s="18"/>
      <c r="W6" s="219" t="s">
        <v>82</v>
      </c>
      <c r="X6" s="221"/>
      <c r="AA6" s="76" t="s">
        <v>83</v>
      </c>
      <c r="AB6" s="77"/>
    </row>
    <row r="7" spans="15:28" ht="6.75" customHeight="1">
      <c r="O7" s="32"/>
      <c r="U7" s="18"/>
      <c r="V7" s="1"/>
      <c r="W7" s="51"/>
      <c r="X7" s="51"/>
      <c r="Y7" s="32"/>
      <c r="Z7" s="2"/>
      <c r="AA7" s="51"/>
      <c r="AB7" s="1"/>
    </row>
    <row r="8" spans="2:28" s="2" customFormat="1" ht="49.5" customHeight="1">
      <c r="B8" s="67"/>
      <c r="E8" s="230" t="s">
        <v>106</v>
      </c>
      <c r="F8" s="230"/>
      <c r="G8" s="114"/>
      <c r="H8" s="114"/>
      <c r="I8" s="114"/>
      <c r="J8" s="114"/>
      <c r="K8" s="114"/>
      <c r="L8" s="114"/>
      <c r="M8" s="114"/>
      <c r="N8" s="114"/>
      <c r="O8" s="33"/>
      <c r="P8" s="159" t="s">
        <v>178</v>
      </c>
      <c r="Q8" s="172" t="s">
        <v>106</v>
      </c>
      <c r="R8" s="59"/>
      <c r="T8" s="55"/>
      <c r="U8" s="56"/>
      <c r="V8" s="56"/>
      <c r="W8" s="226" t="s">
        <v>198</v>
      </c>
      <c r="X8" s="226"/>
      <c r="Y8" s="33"/>
      <c r="Z8" s="159" t="s">
        <v>193</v>
      </c>
      <c r="AA8" s="114" t="s">
        <v>198</v>
      </c>
      <c r="AB8" s="59"/>
    </row>
    <row r="9" spans="2:28" ht="28.5" customHeight="1">
      <c r="B9" s="229" t="s">
        <v>0</v>
      </c>
      <c r="C9" s="229"/>
      <c r="D9" s="14"/>
      <c r="E9" s="227">
        <f>E10+E11+E12+E13+E14+E15+E16+E17</f>
        <v>8779.395877925816</v>
      </c>
      <c r="F9" s="228"/>
      <c r="G9" s="3"/>
      <c r="H9" s="3"/>
      <c r="I9" s="3"/>
      <c r="J9" s="3"/>
      <c r="K9" s="3"/>
      <c r="L9" s="3"/>
      <c r="M9" s="3"/>
      <c r="N9" s="3"/>
      <c r="O9" s="34"/>
      <c r="P9" s="21">
        <v>13</v>
      </c>
      <c r="Q9" s="25">
        <f>Q10+Q11+Q12+Q13+Q14+Q15+Q16+Q17</f>
        <v>114132.14641303562</v>
      </c>
      <c r="R9" s="19"/>
      <c r="T9" s="229" t="s">
        <v>23</v>
      </c>
      <c r="U9" s="229"/>
      <c r="V9" s="14"/>
      <c r="W9" s="227">
        <f>W10+W12+W13+W14+W15+W16+W17+W11</f>
        <v>8779.395877925816</v>
      </c>
      <c r="X9" s="228"/>
      <c r="Y9" s="34"/>
      <c r="Z9" s="21">
        <v>13</v>
      </c>
      <c r="AA9" s="25">
        <f>(W10+W12+W13+W14+W15+W16+W17+W11)*13</f>
        <v>114132.1464130356</v>
      </c>
      <c r="AB9" s="19"/>
    </row>
    <row r="10" spans="2:28" ht="15" customHeight="1">
      <c r="B10" s="222" t="s">
        <v>61</v>
      </c>
      <c r="C10" s="223"/>
      <c r="D10" s="16"/>
      <c r="E10" s="224">
        <v>2399.2</v>
      </c>
      <c r="F10" s="225"/>
      <c r="G10" s="6"/>
      <c r="H10" s="6"/>
      <c r="I10" s="6"/>
      <c r="J10" s="6"/>
      <c r="K10" s="6"/>
      <c r="L10" s="6"/>
      <c r="M10" s="6"/>
      <c r="N10" s="6"/>
      <c r="O10" s="35"/>
      <c r="P10" s="20"/>
      <c r="Q10" s="12">
        <f>E10*13</f>
        <v>31189.6</v>
      </c>
      <c r="R10" s="60"/>
      <c r="T10" s="222" t="s">
        <v>80</v>
      </c>
      <c r="U10" s="223"/>
      <c r="V10" s="16"/>
      <c r="W10" s="224">
        <f>E10</f>
        <v>2399.2</v>
      </c>
      <c r="X10" s="225"/>
      <c r="Y10" s="35"/>
      <c r="Z10" s="20"/>
      <c r="AA10" s="12">
        <f aca="true" t="shared" si="0" ref="AA10:AA18">W10*13</f>
        <v>31189.6</v>
      </c>
      <c r="AB10" s="60"/>
    </row>
    <row r="11" spans="2:28" ht="15" customHeight="1">
      <c r="B11" s="222" t="s">
        <v>100</v>
      </c>
      <c r="C11" s="223"/>
      <c r="D11" s="16"/>
      <c r="E11" s="224">
        <v>1149.52</v>
      </c>
      <c r="F11" s="225"/>
      <c r="G11" s="6"/>
      <c r="H11" s="6"/>
      <c r="I11" s="6"/>
      <c r="J11" s="6"/>
      <c r="K11" s="6"/>
      <c r="L11" s="6"/>
      <c r="M11" s="6"/>
      <c r="N11" s="6"/>
      <c r="O11" s="35"/>
      <c r="P11" s="20"/>
      <c r="Q11" s="12">
        <f aca="true" t="shared" si="1" ref="Q11:Q17">E11*13</f>
        <v>14943.76</v>
      </c>
      <c r="R11" s="60"/>
      <c r="T11" s="222" t="s">
        <v>101</v>
      </c>
      <c r="U11" s="223"/>
      <c r="V11" s="16"/>
      <c r="W11" s="224">
        <f aca="true" t="shared" si="2" ref="W11:W17">E11</f>
        <v>1149.52</v>
      </c>
      <c r="X11" s="225"/>
      <c r="Y11" s="35"/>
      <c r="Z11" s="20"/>
      <c r="AA11" s="12">
        <f t="shared" si="0"/>
        <v>14943.76</v>
      </c>
      <c r="AB11" s="60"/>
    </row>
    <row r="12" spans="2:28" ht="15" customHeight="1">
      <c r="B12" s="222" t="s">
        <v>97</v>
      </c>
      <c r="C12" s="223"/>
      <c r="D12" s="16"/>
      <c r="E12" s="224">
        <v>848.14</v>
      </c>
      <c r="F12" s="225"/>
      <c r="G12" s="6"/>
      <c r="H12" s="6"/>
      <c r="I12" s="6"/>
      <c r="J12" s="6"/>
      <c r="K12" s="6"/>
      <c r="L12" s="6"/>
      <c r="M12" s="6"/>
      <c r="N12" s="6"/>
      <c r="O12" s="35"/>
      <c r="P12" s="20"/>
      <c r="Q12" s="12">
        <f t="shared" si="1"/>
        <v>11025.82</v>
      </c>
      <c r="R12" s="60"/>
      <c r="T12" s="222" t="s">
        <v>24</v>
      </c>
      <c r="U12" s="223"/>
      <c r="V12" s="16"/>
      <c r="W12" s="224">
        <f t="shared" si="2"/>
        <v>848.14</v>
      </c>
      <c r="X12" s="225"/>
      <c r="Y12" s="35"/>
      <c r="Z12" s="20"/>
      <c r="AA12" s="12">
        <f t="shared" si="0"/>
        <v>11025.82</v>
      </c>
      <c r="AB12" s="60"/>
    </row>
    <row r="13" spans="2:28" ht="15" customHeight="1">
      <c r="B13" s="222" t="s">
        <v>98</v>
      </c>
      <c r="C13" s="223"/>
      <c r="D13" s="16"/>
      <c r="E13" s="224">
        <f>10127.87/12</f>
        <v>843.9891666666667</v>
      </c>
      <c r="F13" s="225"/>
      <c r="G13" s="6"/>
      <c r="H13" s="6"/>
      <c r="I13" s="6"/>
      <c r="J13" s="6"/>
      <c r="K13" s="6"/>
      <c r="L13" s="6"/>
      <c r="M13" s="6"/>
      <c r="N13" s="6"/>
      <c r="O13" s="35"/>
      <c r="P13" s="20"/>
      <c r="Q13" s="12">
        <f t="shared" si="1"/>
        <v>10971.859166666667</v>
      </c>
      <c r="R13" s="60"/>
      <c r="T13" s="222" t="s">
        <v>25</v>
      </c>
      <c r="U13" s="223"/>
      <c r="V13" s="16"/>
      <c r="W13" s="224">
        <f t="shared" si="2"/>
        <v>843.9891666666667</v>
      </c>
      <c r="X13" s="225"/>
      <c r="Y13" s="35"/>
      <c r="Z13" s="20"/>
      <c r="AA13" s="12">
        <f t="shared" si="0"/>
        <v>10971.859166666667</v>
      </c>
      <c r="AB13" s="60"/>
    </row>
    <row r="14" spans="2:28" ht="15" customHeight="1">
      <c r="B14" s="222" t="s">
        <v>21</v>
      </c>
      <c r="C14" s="223"/>
      <c r="D14" s="16"/>
      <c r="E14" s="224">
        <f>'confronto con - senza'!K15*101.2%*102%*101.7%*102.1%*102%*102.3%*103.8%</f>
        <v>1356.924249720688</v>
      </c>
      <c r="F14" s="225"/>
      <c r="G14" s="6"/>
      <c r="H14" s="6"/>
      <c r="I14" s="233" t="s">
        <v>141</v>
      </c>
      <c r="J14" s="233"/>
      <c r="K14" s="3" t="s">
        <v>142</v>
      </c>
      <c r="L14" s="3"/>
      <c r="M14" s="3"/>
      <c r="N14" s="3"/>
      <c r="O14" s="35"/>
      <c r="P14" s="20"/>
      <c r="Q14" s="12">
        <f t="shared" si="1"/>
        <v>17640.015246368945</v>
      </c>
      <c r="R14" s="60"/>
      <c r="T14" s="222" t="s">
        <v>26</v>
      </c>
      <c r="U14" s="223"/>
      <c r="V14" s="16"/>
      <c r="W14" s="224">
        <f t="shared" si="2"/>
        <v>1356.924249720688</v>
      </c>
      <c r="X14" s="225"/>
      <c r="Y14" s="35"/>
      <c r="Z14" s="20"/>
      <c r="AA14" s="12">
        <f t="shared" si="0"/>
        <v>17640.015246368945</v>
      </c>
      <c r="AB14" s="60"/>
    </row>
    <row r="15" spans="1:28" ht="15" customHeight="1">
      <c r="A15" s="88" t="s">
        <v>112</v>
      </c>
      <c r="B15" s="222" t="s">
        <v>85</v>
      </c>
      <c r="C15" s="223"/>
      <c r="D15" s="16"/>
      <c r="E15" s="204">
        <f>(136*2*4.345)/13*12</f>
        <v>1090.9292307692306</v>
      </c>
      <c r="F15" s="204"/>
      <c r="G15" s="151"/>
      <c r="H15" s="6"/>
      <c r="I15" s="6"/>
      <c r="J15" s="6"/>
      <c r="K15" s="6"/>
      <c r="L15" s="6"/>
      <c r="M15" s="6"/>
      <c r="N15" s="6"/>
      <c r="O15" s="35"/>
      <c r="P15" s="20"/>
      <c r="Q15" s="12">
        <f t="shared" si="1"/>
        <v>14182.079999999998</v>
      </c>
      <c r="R15" s="60"/>
      <c r="S15" s="88" t="s">
        <v>119</v>
      </c>
      <c r="T15" s="222" t="s">
        <v>27</v>
      </c>
      <c r="U15" s="223"/>
      <c r="V15" s="16"/>
      <c r="W15" s="224">
        <f t="shared" si="2"/>
        <v>1090.9292307692306</v>
      </c>
      <c r="X15" s="225"/>
      <c r="Y15" s="35"/>
      <c r="Z15" s="20"/>
      <c r="AA15" s="12">
        <f t="shared" si="0"/>
        <v>14182.079999999998</v>
      </c>
      <c r="AB15" s="60"/>
    </row>
    <row r="16" spans="1:28" ht="15" customHeight="1">
      <c r="A16" s="88" t="s">
        <v>116</v>
      </c>
      <c r="B16" s="222" t="s">
        <v>41</v>
      </c>
      <c r="C16" s="223"/>
      <c r="D16" s="16"/>
      <c r="E16" s="224">
        <f>12394.97/13</f>
        <v>953.4592307692308</v>
      </c>
      <c r="F16" s="225"/>
      <c r="G16" s="151" t="s">
        <v>145</v>
      </c>
      <c r="H16" s="6">
        <v>1486.33</v>
      </c>
      <c r="I16" s="153">
        <v>1.027</v>
      </c>
      <c r="J16" s="151">
        <v>1486.33</v>
      </c>
      <c r="K16" s="151">
        <f aca="true" t="shared" si="3" ref="K16:K24">H16*0.7</f>
        <v>1040.4309999999998</v>
      </c>
      <c r="L16" s="151"/>
      <c r="M16" s="151"/>
      <c r="N16" s="151"/>
      <c r="O16" s="35"/>
      <c r="P16" s="20"/>
      <c r="Q16" s="12">
        <f t="shared" si="1"/>
        <v>12394.97</v>
      </c>
      <c r="R16" s="60"/>
      <c r="S16" s="88" t="s">
        <v>117</v>
      </c>
      <c r="T16" s="222" t="s">
        <v>44</v>
      </c>
      <c r="U16" s="223"/>
      <c r="V16" s="16"/>
      <c r="W16" s="224">
        <f t="shared" si="2"/>
        <v>953.4592307692308</v>
      </c>
      <c r="X16" s="225"/>
      <c r="Y16" s="35"/>
      <c r="Z16" s="20"/>
      <c r="AA16" s="12">
        <f t="shared" si="0"/>
        <v>12394.97</v>
      </c>
      <c r="AB16" s="60"/>
    </row>
    <row r="17" spans="1:28" ht="15" customHeight="1">
      <c r="A17" s="88" t="s">
        <v>127</v>
      </c>
      <c r="B17" s="222" t="s">
        <v>108</v>
      </c>
      <c r="C17" s="223"/>
      <c r="D17" s="16"/>
      <c r="E17" s="224">
        <f>B45</f>
        <v>137.23400000000004</v>
      </c>
      <c r="F17" s="225"/>
      <c r="G17" s="151" t="s">
        <v>144</v>
      </c>
      <c r="H17" s="6">
        <v>1504.16</v>
      </c>
      <c r="I17" s="153">
        <v>1.012</v>
      </c>
      <c r="J17" s="151">
        <f aca="true" t="shared" si="4" ref="J17:J22">H16*I17</f>
        <v>1504.16596</v>
      </c>
      <c r="K17" s="151">
        <f t="shared" si="3"/>
        <v>1052.912</v>
      </c>
      <c r="L17" s="151"/>
      <c r="M17" s="151"/>
      <c r="N17" s="151"/>
      <c r="O17" s="35"/>
      <c r="P17" s="20"/>
      <c r="Q17" s="12">
        <f t="shared" si="1"/>
        <v>1784.0420000000004</v>
      </c>
      <c r="R17" s="60"/>
      <c r="S17" s="88" t="s">
        <v>194</v>
      </c>
      <c r="T17" s="222" t="s">
        <v>84</v>
      </c>
      <c r="U17" s="223"/>
      <c r="V17" s="16"/>
      <c r="W17" s="224">
        <f t="shared" si="2"/>
        <v>137.23400000000004</v>
      </c>
      <c r="X17" s="225"/>
      <c r="Y17" s="35"/>
      <c r="Z17" s="20"/>
      <c r="AA17" s="12">
        <f t="shared" si="0"/>
        <v>1784.0420000000004</v>
      </c>
      <c r="AB17" s="60"/>
    </row>
    <row r="18" spans="2:28" ht="28.5" customHeight="1">
      <c r="B18" s="209" t="s">
        <v>4</v>
      </c>
      <c r="C18" s="210"/>
      <c r="D18" s="14"/>
      <c r="E18" s="227">
        <f>F19</f>
        <v>228.31724999999997</v>
      </c>
      <c r="F18" s="228"/>
      <c r="G18" s="151" t="s">
        <v>143</v>
      </c>
      <c r="H18" s="6">
        <v>1534.25</v>
      </c>
      <c r="I18" s="153">
        <v>1.02</v>
      </c>
      <c r="J18" s="151">
        <f t="shared" si="4"/>
        <v>1534.2432000000001</v>
      </c>
      <c r="K18" s="151">
        <f t="shared" si="3"/>
        <v>1073.975</v>
      </c>
      <c r="L18" s="151"/>
      <c r="M18" s="151"/>
      <c r="N18" s="151"/>
      <c r="O18" s="34"/>
      <c r="P18" s="21">
        <v>13</v>
      </c>
      <c r="Q18" s="26">
        <f>E18*13</f>
        <v>2968.12425</v>
      </c>
      <c r="R18" s="19"/>
      <c r="T18" s="209" t="s">
        <v>29</v>
      </c>
      <c r="U18" s="210"/>
      <c r="V18" s="14"/>
      <c r="W18" s="227">
        <f>X19</f>
        <v>228.31724999999997</v>
      </c>
      <c r="X18" s="228"/>
      <c r="Y18" s="34"/>
      <c r="Z18" s="21">
        <v>13</v>
      </c>
      <c r="AA18" s="26">
        <f t="shared" si="0"/>
        <v>2968.12425</v>
      </c>
      <c r="AB18" s="19"/>
    </row>
    <row r="19" spans="2:28" ht="15" customHeight="1">
      <c r="B19" s="222" t="s">
        <v>5</v>
      </c>
      <c r="C19" s="223"/>
      <c r="D19" s="16"/>
      <c r="E19" s="78"/>
      <c r="F19" s="5">
        <f>M34</f>
        <v>228.31724999999997</v>
      </c>
      <c r="G19" s="154" t="s">
        <v>136</v>
      </c>
      <c r="H19" s="151">
        <f>1560.33</f>
        <v>1560.33</v>
      </c>
      <c r="I19" s="153">
        <v>1.017</v>
      </c>
      <c r="J19" s="151">
        <f t="shared" si="4"/>
        <v>1560.33225</v>
      </c>
      <c r="K19" s="152">
        <f t="shared" si="3"/>
        <v>1092.2309999999998</v>
      </c>
      <c r="L19" s="151">
        <f>K19*5%/2</f>
        <v>27.305774999999997</v>
      </c>
      <c r="M19" s="151">
        <f>L19</f>
        <v>27.305774999999997</v>
      </c>
      <c r="N19" s="151" t="s">
        <v>148</v>
      </c>
      <c r="O19" s="36"/>
      <c r="Q19" s="12">
        <f>F19*13</f>
        <v>2968.12425</v>
      </c>
      <c r="R19" s="60"/>
      <c r="T19" s="222" t="s">
        <v>30</v>
      </c>
      <c r="U19" s="223"/>
      <c r="V19" s="16"/>
      <c r="W19" s="74"/>
      <c r="X19" s="5">
        <f>F19</f>
        <v>228.31724999999997</v>
      </c>
      <c r="Y19" s="36"/>
      <c r="Z19" s="2"/>
      <c r="AA19" s="12"/>
      <c r="AB19" s="60"/>
    </row>
    <row r="20" spans="2:28" ht="15" customHeight="1">
      <c r="B20" s="222" t="s">
        <v>92</v>
      </c>
      <c r="C20" s="223"/>
      <c r="D20" s="16"/>
      <c r="E20" s="4"/>
      <c r="F20" s="5"/>
      <c r="G20" s="154" t="s">
        <v>137</v>
      </c>
      <c r="H20" s="151">
        <f>1593.1</f>
        <v>1593.1</v>
      </c>
      <c r="I20" s="153">
        <v>1.021</v>
      </c>
      <c r="J20" s="151">
        <f t="shared" si="4"/>
        <v>1593.0969299999997</v>
      </c>
      <c r="K20" s="152">
        <f t="shared" si="3"/>
        <v>1115.1699999999998</v>
      </c>
      <c r="L20" s="151">
        <f>K20*5%/2</f>
        <v>27.87925</v>
      </c>
      <c r="M20" s="151">
        <f>L20</f>
        <v>27.87925</v>
      </c>
      <c r="N20" s="151" t="s">
        <v>149</v>
      </c>
      <c r="O20" s="36"/>
      <c r="P20" s="62"/>
      <c r="Q20" s="12"/>
      <c r="R20" s="60"/>
      <c r="T20" s="222" t="s">
        <v>91</v>
      </c>
      <c r="U20" s="223"/>
      <c r="V20" s="16"/>
      <c r="W20" s="9"/>
      <c r="X20" s="5"/>
      <c r="Y20" s="36"/>
      <c r="Z20" s="62"/>
      <c r="AA20" s="12"/>
      <c r="AB20" s="60"/>
    </row>
    <row r="21" spans="2:28" ht="15" customHeight="1">
      <c r="B21" s="222" t="s">
        <v>6</v>
      </c>
      <c r="C21" s="223"/>
      <c r="D21" s="16"/>
      <c r="E21" s="4"/>
      <c r="F21" s="5"/>
      <c r="G21" s="154" t="s">
        <v>138</v>
      </c>
      <c r="H21" s="151">
        <f>1624.96</f>
        <v>1624.96</v>
      </c>
      <c r="I21" s="153">
        <v>1.02</v>
      </c>
      <c r="J21" s="151">
        <f t="shared" si="4"/>
        <v>1624.962</v>
      </c>
      <c r="K21" s="152">
        <f t="shared" si="3"/>
        <v>1137.472</v>
      </c>
      <c r="L21" s="151">
        <f>K21*5%/2</f>
        <v>28.4368</v>
      </c>
      <c r="M21" s="151">
        <f>L20</f>
        <v>27.87925</v>
      </c>
      <c r="N21" s="151" t="s">
        <v>150</v>
      </c>
      <c r="O21" s="36"/>
      <c r="Q21" s="12"/>
      <c r="R21" s="60"/>
      <c r="T21" s="222" t="s">
        <v>31</v>
      </c>
      <c r="U21" s="223"/>
      <c r="V21" s="16"/>
      <c r="W21" s="9"/>
      <c r="X21" s="5"/>
      <c r="Y21" s="36"/>
      <c r="Z21" s="2"/>
      <c r="AA21" s="12"/>
      <c r="AB21" s="60"/>
    </row>
    <row r="22" spans="2:28" ht="15" customHeight="1" hidden="1" outlineLevel="1" thickBot="1">
      <c r="B22" s="222" t="s">
        <v>9</v>
      </c>
      <c r="C22" s="223"/>
      <c r="D22" s="16"/>
      <c r="E22" s="5"/>
      <c r="F22" s="5"/>
      <c r="G22" s="151"/>
      <c r="H22" s="151"/>
      <c r="I22" s="153"/>
      <c r="J22" s="151">
        <f t="shared" si="4"/>
        <v>0</v>
      </c>
      <c r="K22" s="152">
        <f t="shared" si="3"/>
        <v>0</v>
      </c>
      <c r="L22" s="151"/>
      <c r="M22" s="151"/>
      <c r="N22" s="151"/>
      <c r="O22" s="36"/>
      <c r="Q22" s="12"/>
      <c r="R22" s="60"/>
      <c r="T22" s="222" t="s">
        <v>32</v>
      </c>
      <c r="U22" s="223"/>
      <c r="V22" s="16"/>
      <c r="W22" s="9"/>
      <c r="X22" s="5"/>
      <c r="Y22" s="36"/>
      <c r="Z22" s="2"/>
      <c r="AA22" s="12"/>
      <c r="AB22" s="60"/>
    </row>
    <row r="23" spans="2:28" ht="28.5" customHeight="1" collapsed="1">
      <c r="B23" s="209" t="s">
        <v>7</v>
      </c>
      <c r="C23" s="210"/>
      <c r="D23" s="14"/>
      <c r="E23" s="227">
        <f>E24</f>
        <v>0</v>
      </c>
      <c r="F23" s="228"/>
      <c r="G23" s="154" t="s">
        <v>139</v>
      </c>
      <c r="H23" s="6">
        <f>1662.36</f>
        <v>1662.36</v>
      </c>
      <c r="I23" s="153">
        <v>1.023</v>
      </c>
      <c r="J23" s="151">
        <f>H21*I23</f>
        <v>1662.3340799999999</v>
      </c>
      <c r="K23" s="152">
        <f t="shared" si="3"/>
        <v>1163.6519999999998</v>
      </c>
      <c r="L23" s="151">
        <f>K23*5%/2</f>
        <v>29.091299999999997</v>
      </c>
      <c r="M23" s="151">
        <f>L21</f>
        <v>28.4368</v>
      </c>
      <c r="N23" s="151" t="s">
        <v>151</v>
      </c>
      <c r="O23" s="34"/>
      <c r="P23" s="21">
        <v>12</v>
      </c>
      <c r="Q23" s="25">
        <f>E23*12</f>
        <v>0</v>
      </c>
      <c r="R23" s="22"/>
      <c r="T23" s="209" t="s">
        <v>33</v>
      </c>
      <c r="U23" s="210"/>
      <c r="V23" s="14"/>
      <c r="W23" s="227">
        <f>W24</f>
        <v>0</v>
      </c>
      <c r="X23" s="228"/>
      <c r="Y23" s="34"/>
      <c r="Z23" s="21">
        <v>12</v>
      </c>
      <c r="AA23" s="25">
        <f>W23*12</f>
        <v>0</v>
      </c>
      <c r="AB23" s="22"/>
    </row>
    <row r="24" spans="2:28" ht="15" customHeight="1">
      <c r="B24" s="17" t="s">
        <v>90</v>
      </c>
      <c r="C24" s="7">
        <v>0</v>
      </c>
      <c r="D24" s="16"/>
      <c r="E24" s="224">
        <v>0</v>
      </c>
      <c r="F24" s="225"/>
      <c r="G24" s="154" t="s">
        <v>140</v>
      </c>
      <c r="H24" s="6">
        <f>1725.53</f>
        <v>1725.53</v>
      </c>
      <c r="I24" s="153">
        <v>1.038</v>
      </c>
      <c r="J24" s="151">
        <f>H23*I24</f>
        <v>1725.5296799999999</v>
      </c>
      <c r="K24" s="152">
        <f t="shared" si="3"/>
        <v>1207.8709999999999</v>
      </c>
      <c r="L24" s="151">
        <f>K24*5%/2</f>
        <v>30.196775</v>
      </c>
      <c r="M24" s="151">
        <f>L21</f>
        <v>28.4368</v>
      </c>
      <c r="N24" s="151" t="s">
        <v>152</v>
      </c>
      <c r="O24" s="63"/>
      <c r="Q24" s="12">
        <v>0</v>
      </c>
      <c r="R24" s="22"/>
      <c r="T24" s="17" t="s">
        <v>89</v>
      </c>
      <c r="U24" s="7">
        <v>0</v>
      </c>
      <c r="V24" s="16"/>
      <c r="W24" s="224">
        <f>E24</f>
        <v>0</v>
      </c>
      <c r="X24" s="225"/>
      <c r="Y24" s="63"/>
      <c r="Z24" s="2"/>
      <c r="AA24" s="12">
        <f>Q24</f>
        <v>0</v>
      </c>
      <c r="AB24" s="22"/>
    </row>
    <row r="25" spans="2:28" ht="15" customHeight="1" hidden="1" outlineLevel="1">
      <c r="B25" s="17" t="s">
        <v>15</v>
      </c>
      <c r="C25" s="11">
        <v>3</v>
      </c>
      <c r="D25" s="16"/>
      <c r="E25" s="214"/>
      <c r="F25" s="215"/>
      <c r="G25" s="6"/>
      <c r="H25" s="6"/>
      <c r="I25" s="6"/>
      <c r="J25" s="6"/>
      <c r="K25" s="6"/>
      <c r="L25" s="6"/>
      <c r="M25" s="6"/>
      <c r="N25" s="6"/>
      <c r="O25" s="63"/>
      <c r="Q25" s="31"/>
      <c r="R25" s="64"/>
      <c r="T25" s="17" t="s">
        <v>39</v>
      </c>
      <c r="U25" s="11">
        <v>3</v>
      </c>
      <c r="V25" s="16"/>
      <c r="W25" s="214"/>
      <c r="X25" s="215"/>
      <c r="Y25" s="63"/>
      <c r="Z25" s="2"/>
      <c r="AA25" s="31"/>
      <c r="AB25" s="64"/>
    </row>
    <row r="26" spans="2:28" ht="15" customHeight="1" collapsed="1">
      <c r="B26" s="17" t="s">
        <v>99</v>
      </c>
      <c r="C26" s="7"/>
      <c r="D26" s="16"/>
      <c r="E26" s="214"/>
      <c r="F26" s="215"/>
      <c r="G26" s="6"/>
      <c r="H26" s="6"/>
      <c r="I26" s="6"/>
      <c r="J26" s="6"/>
      <c r="K26" s="6"/>
      <c r="L26" s="6"/>
      <c r="M26" s="6">
        <f>L23</f>
        <v>29.091299999999997</v>
      </c>
      <c r="N26" s="151" t="s">
        <v>153</v>
      </c>
      <c r="O26" s="24"/>
      <c r="P26" s="24"/>
      <c r="Q26" s="31"/>
      <c r="R26" s="22"/>
      <c r="T26" s="17" t="s">
        <v>34</v>
      </c>
      <c r="U26" s="7"/>
      <c r="V26" s="16"/>
      <c r="W26" s="214"/>
      <c r="X26" s="215"/>
      <c r="Y26" s="24"/>
      <c r="Z26" s="24"/>
      <c r="AA26" s="31"/>
      <c r="AB26" s="22"/>
    </row>
    <row r="27" spans="2:28" ht="15" customHeight="1" hidden="1" outlineLevel="1">
      <c r="B27" s="209" t="s">
        <v>16</v>
      </c>
      <c r="C27" s="210"/>
      <c r="D27" s="16"/>
      <c r="E27" s="205"/>
      <c r="F27" s="206"/>
      <c r="G27" s="58"/>
      <c r="H27" s="58"/>
      <c r="I27" s="58"/>
      <c r="J27" s="58"/>
      <c r="K27" s="58"/>
      <c r="L27" s="58"/>
      <c r="M27" s="58"/>
      <c r="N27" s="58"/>
      <c r="O27" s="63"/>
      <c r="P27" s="21">
        <v>12</v>
      </c>
      <c r="Q27" s="26"/>
      <c r="R27" s="19"/>
      <c r="T27" s="209" t="s">
        <v>35</v>
      </c>
      <c r="U27" s="210"/>
      <c r="V27" s="16"/>
      <c r="W27" s="205"/>
      <c r="X27" s="206"/>
      <c r="Y27" s="63"/>
      <c r="Z27" s="21">
        <v>12</v>
      </c>
      <c r="AA27" s="26"/>
      <c r="AB27" s="19"/>
    </row>
    <row r="28" spans="2:28" ht="15" customHeight="1" hidden="1" outlineLevel="1">
      <c r="B28" s="222" t="s">
        <v>10</v>
      </c>
      <c r="C28" s="223"/>
      <c r="D28" s="18"/>
      <c r="E28" s="214"/>
      <c r="F28" s="215"/>
      <c r="G28" s="6"/>
      <c r="H28" s="6"/>
      <c r="I28" s="6"/>
      <c r="J28" s="6"/>
      <c r="K28" s="6"/>
      <c r="L28" s="6"/>
      <c r="M28" s="6"/>
      <c r="N28" s="6"/>
      <c r="O28" s="63"/>
      <c r="P28" s="21"/>
      <c r="Q28" s="31"/>
      <c r="R28" s="68"/>
      <c r="T28" s="222" t="s">
        <v>40</v>
      </c>
      <c r="U28" s="223"/>
      <c r="V28" s="16"/>
      <c r="W28" s="214"/>
      <c r="X28" s="215"/>
      <c r="Y28" s="63"/>
      <c r="Z28" s="21"/>
      <c r="AA28" s="31"/>
      <c r="AB28" s="1"/>
    </row>
    <row r="29" spans="2:28" ht="15" customHeight="1" hidden="1" outlineLevel="1">
      <c r="B29" s="222" t="s">
        <v>11</v>
      </c>
      <c r="C29" s="223"/>
      <c r="D29" s="18"/>
      <c r="E29" s="214"/>
      <c r="F29" s="215"/>
      <c r="G29" s="6"/>
      <c r="H29" s="6"/>
      <c r="I29" s="6"/>
      <c r="J29" s="6"/>
      <c r="K29" s="6"/>
      <c r="L29" s="6"/>
      <c r="M29" s="6"/>
      <c r="N29" s="6"/>
      <c r="O29" s="63"/>
      <c r="Q29" s="31"/>
      <c r="R29" s="68"/>
      <c r="T29" s="222" t="s">
        <v>36</v>
      </c>
      <c r="U29" s="223"/>
      <c r="V29" s="16"/>
      <c r="W29" s="214"/>
      <c r="X29" s="215"/>
      <c r="Y29" s="63"/>
      <c r="AA29" s="31"/>
      <c r="AB29" s="1"/>
    </row>
    <row r="30" spans="2:28" ht="15" customHeight="1" hidden="1" outlineLevel="1">
      <c r="B30" s="222" t="s">
        <v>12</v>
      </c>
      <c r="C30" s="223"/>
      <c r="D30" s="18"/>
      <c r="E30" s="214"/>
      <c r="F30" s="215"/>
      <c r="G30" s="6"/>
      <c r="H30" s="6"/>
      <c r="I30" s="6"/>
      <c r="J30" s="6"/>
      <c r="K30" s="6"/>
      <c r="L30" s="6"/>
      <c r="M30" s="6"/>
      <c r="N30" s="6"/>
      <c r="O30" s="63"/>
      <c r="Q30" s="31"/>
      <c r="R30" s="68"/>
      <c r="T30" s="222" t="s">
        <v>37</v>
      </c>
      <c r="U30" s="223"/>
      <c r="V30" s="16"/>
      <c r="W30" s="214"/>
      <c r="X30" s="215"/>
      <c r="Y30" s="63"/>
      <c r="AA30" s="31"/>
      <c r="AB30" s="1"/>
    </row>
    <row r="31" spans="2:28" ht="15" customHeight="1" hidden="1" outlineLevel="1" thickBot="1">
      <c r="B31" s="222" t="s">
        <v>13</v>
      </c>
      <c r="C31" s="223"/>
      <c r="D31" s="18"/>
      <c r="E31" s="214"/>
      <c r="F31" s="215"/>
      <c r="G31" s="6"/>
      <c r="H31" s="6"/>
      <c r="I31" s="6"/>
      <c r="J31" s="6"/>
      <c r="K31" s="6"/>
      <c r="L31" s="6"/>
      <c r="M31" s="6"/>
      <c r="N31" s="6"/>
      <c r="O31" s="63"/>
      <c r="Q31" s="31"/>
      <c r="R31" s="68"/>
      <c r="T31" s="222" t="s">
        <v>38</v>
      </c>
      <c r="U31" s="223"/>
      <c r="V31" s="16"/>
      <c r="W31" s="214"/>
      <c r="X31" s="215"/>
      <c r="Y31" s="63"/>
      <c r="AA31" s="31"/>
      <c r="AB31" s="1"/>
    </row>
    <row r="32" spans="2:28" ht="28.5" customHeight="1" collapsed="1">
      <c r="B32" s="207" t="s">
        <v>42</v>
      </c>
      <c r="C32" s="208"/>
      <c r="D32" s="18"/>
      <c r="E32" s="217">
        <f>E23+E18+E9</f>
        <v>9007.713127925816</v>
      </c>
      <c r="F32" s="218"/>
      <c r="G32" s="3"/>
      <c r="H32" s="3"/>
      <c r="I32" s="3"/>
      <c r="J32" s="3"/>
      <c r="K32" s="3"/>
      <c r="L32" s="3"/>
      <c r="M32" s="6">
        <f>M26</f>
        <v>29.091299999999997</v>
      </c>
      <c r="N32" s="151" t="s">
        <v>154</v>
      </c>
      <c r="O32" s="34"/>
      <c r="P32" s="13"/>
      <c r="Q32" s="37">
        <f>Q9+Q18+Q23+Q27</f>
        <v>117100.27066303561</v>
      </c>
      <c r="R32" s="29"/>
      <c r="S32" s="30"/>
      <c r="T32" s="207" t="s">
        <v>43</v>
      </c>
      <c r="U32" s="208"/>
      <c r="V32" s="18"/>
      <c r="W32" s="217">
        <f>W9+W18+W23+W27</f>
        <v>9007.713127925816</v>
      </c>
      <c r="X32" s="218"/>
      <c r="Y32" s="34"/>
      <c r="Z32" s="13"/>
      <c r="AA32" s="37">
        <f>AA9+AA18+AA23+AA27</f>
        <v>117100.2706630356</v>
      </c>
      <c r="AB32" s="29"/>
    </row>
    <row r="33" spans="5:28" ht="12.75" customHeight="1" thickBot="1">
      <c r="E33" s="1"/>
      <c r="F33" s="1"/>
      <c r="G33" s="1"/>
      <c r="H33" s="1"/>
      <c r="I33" s="1"/>
      <c r="J33" s="1"/>
      <c r="K33" s="1"/>
      <c r="L33" s="1"/>
      <c r="M33" s="1">
        <f>L24</f>
        <v>30.196775</v>
      </c>
      <c r="N33" s="151" t="s">
        <v>155</v>
      </c>
      <c r="O33" s="63"/>
      <c r="T33" s="1"/>
      <c r="U33" s="1"/>
      <c r="V33" s="1"/>
      <c r="W33" s="1"/>
      <c r="X33" s="1"/>
      <c r="Y33" s="63"/>
      <c r="AA33" s="51"/>
      <c r="AB33" s="14"/>
    </row>
    <row r="34" spans="2:20" ht="12.75" customHeight="1">
      <c r="B34" s="66"/>
      <c r="E34" s="1"/>
      <c r="F34" s="1"/>
      <c r="G34" s="1"/>
      <c r="H34" s="1"/>
      <c r="I34" s="1"/>
      <c r="J34" s="1"/>
      <c r="K34" s="1"/>
      <c r="L34" s="1"/>
      <c r="M34" s="155">
        <f>SUM(M19:M33)</f>
        <v>228.31724999999997</v>
      </c>
      <c r="N34" s="1"/>
      <c r="O34" s="63"/>
      <c r="P34" s="15"/>
      <c r="T34" s="1"/>
    </row>
    <row r="35" spans="1:22" ht="15" customHeight="1">
      <c r="A35" s="88" t="s">
        <v>62</v>
      </c>
      <c r="B35" s="1" t="s">
        <v>65</v>
      </c>
      <c r="P35" s="79"/>
      <c r="Q35" s="79"/>
      <c r="S35" s="88" t="s">
        <v>62</v>
      </c>
      <c r="T35" s="1" t="s">
        <v>224</v>
      </c>
      <c r="V35" s="1"/>
    </row>
    <row r="36" spans="1:22" ht="15" customHeight="1">
      <c r="A36" s="88"/>
      <c r="Q36" s="2"/>
      <c r="S36" s="88"/>
      <c r="T36" s="1"/>
      <c r="V36" s="1"/>
    </row>
    <row r="37" spans="1:22" ht="15" customHeight="1">
      <c r="A37" s="88" t="s">
        <v>63</v>
      </c>
      <c r="B37" s="1" t="s">
        <v>111</v>
      </c>
      <c r="S37" s="88" t="s">
        <v>63</v>
      </c>
      <c r="T37" s="1" t="s">
        <v>210</v>
      </c>
      <c r="V37" s="1"/>
    </row>
    <row r="38" spans="20:22" ht="15" customHeight="1">
      <c r="T38" s="1"/>
      <c r="V38" s="1"/>
    </row>
    <row r="39" spans="1:20" ht="15" customHeight="1">
      <c r="A39" s="88" t="s">
        <v>64</v>
      </c>
      <c r="B39" s="1" t="s">
        <v>231</v>
      </c>
      <c r="C39" s="51"/>
      <c r="S39" s="88" t="s">
        <v>64</v>
      </c>
      <c r="T39" s="1" t="s">
        <v>228</v>
      </c>
    </row>
    <row r="40" spans="2:20" ht="15" customHeight="1">
      <c r="B40" s="1" t="s">
        <v>146</v>
      </c>
      <c r="C40" s="51"/>
      <c r="T40" s="1" t="s">
        <v>229</v>
      </c>
    </row>
    <row r="41" spans="2:20" ht="15" customHeight="1">
      <c r="B41" s="1" t="s">
        <v>147</v>
      </c>
      <c r="C41" s="51"/>
      <c r="T41" s="1" t="s">
        <v>208</v>
      </c>
    </row>
    <row r="42" spans="2:20" ht="15" customHeight="1">
      <c r="B42" s="95">
        <v>1040.43</v>
      </c>
      <c r="C42" s="51"/>
      <c r="T42" s="95">
        <f>B42</f>
        <v>1040.43</v>
      </c>
    </row>
    <row r="43" spans="1:20" ht="15" customHeight="1">
      <c r="A43" s="88" t="s">
        <v>70</v>
      </c>
      <c r="B43" s="1">
        <v>695.11</v>
      </c>
      <c r="C43" s="51"/>
      <c r="S43" s="88" t="s">
        <v>70</v>
      </c>
      <c r="T43" s="95">
        <f>B43</f>
        <v>695.11</v>
      </c>
    </row>
    <row r="44" spans="1:20" ht="15" customHeight="1">
      <c r="A44" s="88" t="s">
        <v>70</v>
      </c>
      <c r="B44" s="1">
        <f>1040.43*20%</f>
        <v>208.086</v>
      </c>
      <c r="C44" s="51"/>
      <c r="S44" s="88" t="s">
        <v>70</v>
      </c>
      <c r="T44" s="95">
        <f>B44</f>
        <v>208.086</v>
      </c>
    </row>
    <row r="45" spans="1:20" ht="15" customHeight="1">
      <c r="A45" s="2"/>
      <c r="B45" s="108">
        <f>B42-(B43+B44)</f>
        <v>137.23400000000004</v>
      </c>
      <c r="C45" s="51"/>
      <c r="S45" s="2"/>
      <c r="T45" s="192">
        <f>B45</f>
        <v>137.23400000000004</v>
      </c>
    </row>
    <row r="46" spans="1:20" ht="12.75">
      <c r="A46" s="103"/>
      <c r="B46" s="2"/>
      <c r="C46" s="51"/>
      <c r="S46" s="103"/>
      <c r="T46" s="2"/>
    </row>
    <row r="47" spans="1:22" ht="12.75">
      <c r="A47" s="103"/>
      <c r="B47" s="15"/>
      <c r="S47" s="103"/>
      <c r="T47" s="15"/>
      <c r="V47" s="1"/>
    </row>
    <row r="48" spans="19:20" ht="12.75">
      <c r="S48" s="2"/>
      <c r="T48" s="104"/>
    </row>
  </sheetData>
  <mergeCells count="89">
    <mergeCell ref="A3:R4"/>
    <mergeCell ref="B31:C31"/>
    <mergeCell ref="W18:X18"/>
    <mergeCell ref="E31:F31"/>
    <mergeCell ref="W31:X31"/>
    <mergeCell ref="T29:U29"/>
    <mergeCell ref="T28:U28"/>
    <mergeCell ref="W28:X28"/>
    <mergeCell ref="W27:X27"/>
    <mergeCell ref="T27:U27"/>
    <mergeCell ref="B32:C32"/>
    <mergeCell ref="E32:F32"/>
    <mergeCell ref="T32:U32"/>
    <mergeCell ref="W32:X32"/>
    <mergeCell ref="W9:X9"/>
    <mergeCell ref="W10:X10"/>
    <mergeCell ref="W14:X14"/>
    <mergeCell ref="W12:X12"/>
    <mergeCell ref="W29:X29"/>
    <mergeCell ref="W17:X17"/>
    <mergeCell ref="W16:X16"/>
    <mergeCell ref="W13:X13"/>
    <mergeCell ref="W15:X15"/>
    <mergeCell ref="T31:U31"/>
    <mergeCell ref="B13:C13"/>
    <mergeCell ref="T13:U13"/>
    <mergeCell ref="B14:C14"/>
    <mergeCell ref="T14:U14"/>
    <mergeCell ref="B29:C29"/>
    <mergeCell ref="E29:F29"/>
    <mergeCell ref="B28:C28"/>
    <mergeCell ref="E28:F28"/>
    <mergeCell ref="B27:C27"/>
    <mergeCell ref="W30:X30"/>
    <mergeCell ref="B30:C30"/>
    <mergeCell ref="E30:F30"/>
    <mergeCell ref="T30:U30"/>
    <mergeCell ref="E27:F27"/>
    <mergeCell ref="W26:X26"/>
    <mergeCell ref="E26:F26"/>
    <mergeCell ref="E24:F24"/>
    <mergeCell ref="T23:U23"/>
    <mergeCell ref="W24:X24"/>
    <mergeCell ref="E25:F25"/>
    <mergeCell ref="W25:X25"/>
    <mergeCell ref="W23:X23"/>
    <mergeCell ref="B23:C23"/>
    <mergeCell ref="E23:F23"/>
    <mergeCell ref="B19:C19"/>
    <mergeCell ref="T19:U19"/>
    <mergeCell ref="B20:C20"/>
    <mergeCell ref="T20:U20"/>
    <mergeCell ref="T21:U21"/>
    <mergeCell ref="B21:C21"/>
    <mergeCell ref="B22:C22"/>
    <mergeCell ref="T22:U22"/>
    <mergeCell ref="B18:C18"/>
    <mergeCell ref="T18:U18"/>
    <mergeCell ref="E17:F17"/>
    <mergeCell ref="E18:F18"/>
    <mergeCell ref="I14:J14"/>
    <mergeCell ref="B17:C17"/>
    <mergeCell ref="T17:U17"/>
    <mergeCell ref="E8:F8"/>
    <mergeCell ref="B9:C9"/>
    <mergeCell ref="E11:F11"/>
    <mergeCell ref="B11:C11"/>
    <mergeCell ref="B10:C10"/>
    <mergeCell ref="E10:F10"/>
    <mergeCell ref="B16:C16"/>
    <mergeCell ref="T15:U15"/>
    <mergeCell ref="T16:U16"/>
    <mergeCell ref="B15:C15"/>
    <mergeCell ref="E16:F16"/>
    <mergeCell ref="E15:F15"/>
    <mergeCell ref="B12:C12"/>
    <mergeCell ref="E12:F12"/>
    <mergeCell ref="E13:F13"/>
    <mergeCell ref="T12:U12"/>
    <mergeCell ref="S3:AC4"/>
    <mergeCell ref="E6:F6"/>
    <mergeCell ref="E14:F14"/>
    <mergeCell ref="T11:U11"/>
    <mergeCell ref="W11:X11"/>
    <mergeCell ref="W6:X6"/>
    <mergeCell ref="W8:X8"/>
    <mergeCell ref="E9:F9"/>
    <mergeCell ref="T9:U9"/>
    <mergeCell ref="T10:U10"/>
  </mergeCells>
  <printOptions/>
  <pageMargins left="0.31496062992125984" right="0" top="0.31496062992125984" bottom="0" header="0.5118110236220472" footer="0.5118110236220472"/>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dimension ref="A1:AG80"/>
  <sheetViews>
    <sheetView view="pageBreakPreview" zoomScaleNormal="95" zoomScaleSheetLayoutView="100" workbookViewId="0" topLeftCell="A1">
      <selection activeCell="P1" sqref="P1"/>
    </sheetView>
  </sheetViews>
  <sheetFormatPr defaultColWidth="11.421875" defaultRowHeight="12.75" outlineLevelRow="1"/>
  <cols>
    <col min="1" max="1" width="29.8515625" style="1" customWidth="1"/>
    <col min="2" max="2" width="3.421875" style="2" customWidth="1"/>
    <col min="3" max="3" width="17.7109375" style="1" customWidth="1"/>
    <col min="4" max="4" width="2.28125" style="1" customWidth="1"/>
    <col min="5" max="5" width="18.28125" style="1" customWidth="1"/>
    <col min="6" max="6" width="8.8515625" style="63" customWidth="1"/>
    <col min="7" max="7" width="4.421875" style="2" customWidth="1"/>
    <col min="8" max="8" width="36.8515625" style="1" customWidth="1"/>
    <col min="9" max="9" width="6.57421875" style="1" customWidth="1"/>
    <col min="10" max="10" width="3.421875" style="2" customWidth="1"/>
    <col min="11" max="11" width="6.421875" style="1" customWidth="1"/>
    <col min="12" max="12" width="18.28125" style="1" customWidth="1"/>
    <col min="13" max="13" width="3.421875" style="1" customWidth="1"/>
    <col min="14" max="14" width="6.7109375" style="1" customWidth="1"/>
    <col min="15" max="15" width="20.28125" style="1" customWidth="1"/>
    <col min="16" max="16" width="11.8515625" style="1" customWidth="1"/>
    <col min="17" max="17" width="32.28125" style="1" customWidth="1"/>
    <col min="18" max="18" width="3.421875" style="2" customWidth="1"/>
    <col min="19" max="19" width="16.28125" style="1" customWidth="1"/>
    <col min="20" max="20" width="2.28125" style="1" customWidth="1"/>
    <col min="21" max="21" width="16.28125" style="1" customWidth="1"/>
    <col min="22" max="22" width="8.8515625" style="63" customWidth="1"/>
    <col min="23" max="23" width="7.421875" style="2" customWidth="1"/>
    <col min="24" max="24" width="39.57421875" style="1" customWidth="1"/>
    <col min="25" max="25" width="6.57421875" style="1" customWidth="1"/>
    <col min="26" max="26" width="3.421875" style="2" customWidth="1"/>
    <col min="27" max="27" width="6.421875" style="1" customWidth="1"/>
    <col min="28" max="28" width="18.28125" style="1" customWidth="1"/>
    <col min="29" max="29" width="3.421875" style="1" customWidth="1"/>
    <col min="30" max="30" width="6.7109375" style="1" customWidth="1"/>
    <col min="31" max="31" width="20.28125" style="1" customWidth="1"/>
    <col min="32" max="32" width="3.8515625" style="1" customWidth="1"/>
    <col min="33" max="33" width="3.00390625" style="1" customWidth="1"/>
    <col min="34" max="16384" width="11.421875" style="1" customWidth="1"/>
  </cols>
  <sheetData>
    <row r="1" spans="6:33" ht="26.25" customHeight="1">
      <c r="F1" s="196"/>
      <c r="G1" s="143"/>
      <c r="P1" s="196" t="s">
        <v>246</v>
      </c>
      <c r="V1" s="2"/>
      <c r="W1" s="143"/>
      <c r="AG1" s="196" t="s">
        <v>245</v>
      </c>
    </row>
    <row r="2" spans="6:23" ht="6.75" customHeight="1" thickBot="1">
      <c r="F2" s="2"/>
      <c r="G2" s="143"/>
      <c r="V2" s="2"/>
      <c r="W2" s="143"/>
    </row>
    <row r="3" spans="1:32" ht="24.75" customHeight="1" thickBot="1">
      <c r="A3" s="234" t="s">
        <v>132</v>
      </c>
      <c r="B3" s="235"/>
      <c r="C3" s="235"/>
      <c r="D3" s="235"/>
      <c r="E3" s="236"/>
      <c r="F3" s="142"/>
      <c r="G3" s="144"/>
      <c r="H3" s="234" t="s">
        <v>128</v>
      </c>
      <c r="I3" s="235"/>
      <c r="J3" s="235"/>
      <c r="K3" s="235"/>
      <c r="L3" s="235"/>
      <c r="M3" s="235"/>
      <c r="N3" s="235"/>
      <c r="O3" s="235"/>
      <c r="P3" s="236"/>
      <c r="Q3" s="234" t="s">
        <v>170</v>
      </c>
      <c r="R3" s="235"/>
      <c r="S3" s="235"/>
      <c r="T3" s="235"/>
      <c r="U3" s="236"/>
      <c r="V3" s="142"/>
      <c r="W3" s="144"/>
      <c r="X3" s="234" t="s">
        <v>171</v>
      </c>
      <c r="Y3" s="235"/>
      <c r="Z3" s="235"/>
      <c r="AA3" s="235"/>
      <c r="AB3" s="235"/>
      <c r="AC3" s="235"/>
      <c r="AD3" s="235"/>
      <c r="AE3" s="235"/>
      <c r="AF3" s="236"/>
    </row>
    <row r="4" spans="1:32" ht="12.75" customHeight="1">
      <c r="A4" s="122"/>
      <c r="B4" s="128"/>
      <c r="C4" s="122"/>
      <c r="D4" s="122"/>
      <c r="E4" s="122"/>
      <c r="F4" s="128"/>
      <c r="G4" s="145"/>
      <c r="H4" s="122"/>
      <c r="I4" s="122"/>
      <c r="J4" s="123"/>
      <c r="K4" s="122"/>
      <c r="L4" s="122"/>
      <c r="M4" s="122"/>
      <c r="N4" s="122"/>
      <c r="O4" s="122"/>
      <c r="P4" s="122"/>
      <c r="Q4" s="122"/>
      <c r="R4" s="128"/>
      <c r="S4" s="122"/>
      <c r="T4" s="122"/>
      <c r="U4" s="122"/>
      <c r="V4" s="128"/>
      <c r="W4" s="145"/>
      <c r="X4" s="122"/>
      <c r="Y4" s="122"/>
      <c r="Z4" s="123"/>
      <c r="AA4" s="122"/>
      <c r="AB4" s="122"/>
      <c r="AC4" s="122"/>
      <c r="AD4" s="122"/>
      <c r="AE4" s="122"/>
      <c r="AF4" s="122"/>
    </row>
    <row r="5" spans="4:23" ht="18.75" customHeight="1" thickBot="1">
      <c r="D5" s="117"/>
      <c r="F5" s="2"/>
      <c r="G5" s="146"/>
      <c r="T5" s="117"/>
      <c r="V5" s="2"/>
      <c r="W5" s="146"/>
    </row>
    <row r="6" spans="3:31" s="2" customFormat="1" ht="40.5" customHeight="1" thickBot="1">
      <c r="C6" s="244" t="s">
        <v>133</v>
      </c>
      <c r="D6" s="46"/>
      <c r="E6" s="244" t="s">
        <v>134</v>
      </c>
      <c r="F6" s="42"/>
      <c r="G6" s="144"/>
      <c r="H6" s="86"/>
      <c r="K6" s="237" t="s">
        <v>133</v>
      </c>
      <c r="L6" s="238"/>
      <c r="N6" s="237" t="s">
        <v>134</v>
      </c>
      <c r="O6" s="238"/>
      <c r="S6" s="133" t="s">
        <v>172</v>
      </c>
      <c r="T6" s="46"/>
      <c r="U6" s="133" t="s">
        <v>173</v>
      </c>
      <c r="V6" s="42"/>
      <c r="W6" s="144"/>
      <c r="X6" s="86"/>
      <c r="AA6" s="237" t="s">
        <v>172</v>
      </c>
      <c r="AB6" s="238"/>
      <c r="AD6" s="237" t="s">
        <v>173</v>
      </c>
      <c r="AE6" s="238"/>
    </row>
    <row r="7" spans="3:31" s="2" customFormat="1" ht="10.5" customHeight="1" thickBot="1">
      <c r="C7" s="245"/>
      <c r="D7" s="46"/>
      <c r="E7" s="245"/>
      <c r="F7" s="42"/>
      <c r="G7" s="144"/>
      <c r="H7" s="86"/>
      <c r="K7" s="42"/>
      <c r="L7" s="42"/>
      <c r="N7" s="42"/>
      <c r="O7" s="42"/>
      <c r="S7" s="42"/>
      <c r="T7" s="46"/>
      <c r="U7" s="42"/>
      <c r="V7" s="42"/>
      <c r="W7" s="144"/>
      <c r="X7" s="86"/>
      <c r="AA7" s="42"/>
      <c r="AB7" s="42"/>
      <c r="AD7" s="42"/>
      <c r="AE7" s="42"/>
    </row>
    <row r="8" spans="6:31" ht="15.75" customHeight="1">
      <c r="F8" s="2"/>
      <c r="G8" s="143"/>
      <c r="H8" s="229" t="s">
        <v>0</v>
      </c>
      <c r="I8" s="229"/>
      <c r="J8" s="124"/>
      <c r="K8" s="227">
        <f>K9+K13+K14+K15+K12</f>
        <v>5454.66</v>
      </c>
      <c r="L8" s="228"/>
      <c r="N8" s="239">
        <f>N9+N13+N14+N15+N12</f>
        <v>5454.66</v>
      </c>
      <c r="O8" s="239"/>
      <c r="V8" s="2"/>
      <c r="W8" s="143"/>
      <c r="X8" s="229" t="s">
        <v>23</v>
      </c>
      <c r="Y8" s="229"/>
      <c r="Z8" s="124"/>
      <c r="AA8" s="227">
        <f>AA9+AA13+AA14+AA15+AA12</f>
        <v>5454.66</v>
      </c>
      <c r="AB8" s="228"/>
      <c r="AD8" s="239">
        <f>AD9+AD13+AD14+AD15+AD12</f>
        <v>5454.66</v>
      </c>
      <c r="AE8" s="239"/>
    </row>
    <row r="9" spans="1:31" ht="15" customHeight="1">
      <c r="A9" s="80" t="s">
        <v>135</v>
      </c>
      <c r="B9" s="134"/>
      <c r="C9" s="84">
        <v>2395.33</v>
      </c>
      <c r="D9" s="118"/>
      <c r="E9" s="84">
        <v>2395.33</v>
      </c>
      <c r="F9" s="118"/>
      <c r="G9" s="147"/>
      <c r="H9" s="222" t="s">
        <v>61</v>
      </c>
      <c r="I9" s="223"/>
      <c r="J9" s="16"/>
      <c r="K9" s="224">
        <v>1963.31</v>
      </c>
      <c r="L9" s="225"/>
      <c r="N9" s="224">
        <v>1963.31</v>
      </c>
      <c r="O9" s="225"/>
      <c r="Q9" s="80" t="s">
        <v>162</v>
      </c>
      <c r="R9" s="134"/>
      <c r="S9" s="84">
        <v>2395.33</v>
      </c>
      <c r="T9" s="118"/>
      <c r="U9" s="84">
        <v>2395.33</v>
      </c>
      <c r="V9" s="118"/>
      <c r="W9" s="147"/>
      <c r="X9" s="222" t="s">
        <v>80</v>
      </c>
      <c r="Y9" s="223"/>
      <c r="Z9" s="16"/>
      <c r="AA9" s="224">
        <v>1963.31</v>
      </c>
      <c r="AB9" s="225"/>
      <c r="AD9" s="204">
        <v>1963.31</v>
      </c>
      <c r="AE9" s="204"/>
    </row>
    <row r="10" spans="1:31" ht="15" customHeight="1" hidden="1" outlineLevel="1">
      <c r="A10" s="83" t="s">
        <v>113</v>
      </c>
      <c r="B10" s="135"/>
      <c r="C10" s="87">
        <v>72.26</v>
      </c>
      <c r="D10" s="119"/>
      <c r="E10" s="87">
        <v>72.26</v>
      </c>
      <c r="F10" s="119"/>
      <c r="G10" s="147"/>
      <c r="H10" s="17"/>
      <c r="I10" s="121"/>
      <c r="J10" s="16"/>
      <c r="K10" s="91"/>
      <c r="L10" s="92"/>
      <c r="N10" s="4"/>
      <c r="O10" s="4"/>
      <c r="Q10" s="83" t="s">
        <v>113</v>
      </c>
      <c r="R10" s="135"/>
      <c r="S10" s="87">
        <v>72.26</v>
      </c>
      <c r="T10" s="119"/>
      <c r="U10" s="87">
        <v>72.26</v>
      </c>
      <c r="V10" s="119"/>
      <c r="W10" s="147"/>
      <c r="X10" s="222" t="s">
        <v>101</v>
      </c>
      <c r="Y10" s="223"/>
      <c r="Z10" s="16"/>
      <c r="AA10" s="91"/>
      <c r="AB10" s="92"/>
      <c r="AD10" s="4"/>
      <c r="AE10" s="4"/>
    </row>
    <row r="11" spans="1:31" ht="15" customHeight="1" hidden="1" outlineLevel="1">
      <c r="A11" s="83" t="s">
        <v>49</v>
      </c>
      <c r="B11" s="135"/>
      <c r="C11" s="87">
        <v>658.35</v>
      </c>
      <c r="D11" s="119"/>
      <c r="E11" s="87">
        <v>658.35</v>
      </c>
      <c r="F11" s="119"/>
      <c r="G11" s="147"/>
      <c r="H11" s="17"/>
      <c r="I11" s="121"/>
      <c r="J11" s="16"/>
      <c r="K11" s="91"/>
      <c r="L11" s="92"/>
      <c r="N11" s="4"/>
      <c r="O11" s="4"/>
      <c r="Q11" s="83" t="s">
        <v>49</v>
      </c>
      <c r="R11" s="135"/>
      <c r="S11" s="87">
        <v>658.35</v>
      </c>
      <c r="T11" s="119"/>
      <c r="U11" s="87">
        <v>658.35</v>
      </c>
      <c r="V11" s="119"/>
      <c r="W11" s="147"/>
      <c r="X11" s="222" t="s">
        <v>24</v>
      </c>
      <c r="Y11" s="223"/>
      <c r="Z11" s="16"/>
      <c r="AA11" s="91"/>
      <c r="AB11" s="92"/>
      <c r="AD11" s="4"/>
      <c r="AE11" s="4"/>
    </row>
    <row r="12" spans="1:31" ht="15" customHeight="1" collapsed="1">
      <c r="A12" s="80" t="s">
        <v>97</v>
      </c>
      <c r="B12" s="134"/>
      <c r="C12" s="110">
        <f>C10+C11</f>
        <v>730.61</v>
      </c>
      <c r="D12" s="118"/>
      <c r="E12" s="110">
        <f>E10+E11</f>
        <v>730.61</v>
      </c>
      <c r="F12" s="118"/>
      <c r="G12" s="147"/>
      <c r="H12" s="222" t="s">
        <v>100</v>
      </c>
      <c r="I12" s="223"/>
      <c r="J12" s="16"/>
      <c r="K12" s="224">
        <f>2828.24-K9</f>
        <v>864.9299999999998</v>
      </c>
      <c r="L12" s="225"/>
      <c r="N12" s="224">
        <f>2828.24-N9</f>
        <v>864.9299999999998</v>
      </c>
      <c r="O12" s="225"/>
      <c r="Q12" s="80" t="s">
        <v>163</v>
      </c>
      <c r="R12" s="134"/>
      <c r="S12" s="110">
        <f>S10+S11</f>
        <v>730.61</v>
      </c>
      <c r="T12" s="118"/>
      <c r="U12" s="110">
        <f>U10+U11</f>
        <v>730.61</v>
      </c>
      <c r="V12" s="118"/>
      <c r="W12" s="147"/>
      <c r="X12" s="222" t="s">
        <v>101</v>
      </c>
      <c r="Y12" s="223"/>
      <c r="Z12" s="16"/>
      <c r="AA12" s="224">
        <f>2828.24-AA9</f>
        <v>864.9299999999998</v>
      </c>
      <c r="AB12" s="225"/>
      <c r="AD12" s="204">
        <f>2828.24-AD9</f>
        <v>864.9299999999998</v>
      </c>
      <c r="AE12" s="204"/>
    </row>
    <row r="13" spans="1:31" ht="15" customHeight="1">
      <c r="A13" s="111" t="s">
        <v>217</v>
      </c>
      <c r="B13" s="136"/>
      <c r="C13" s="84">
        <v>69.17</v>
      </c>
      <c r="D13" s="118"/>
      <c r="E13" s="84">
        <f>C13</f>
        <v>69.17</v>
      </c>
      <c r="F13" s="118"/>
      <c r="G13" s="148"/>
      <c r="H13" s="222" t="s">
        <v>97</v>
      </c>
      <c r="I13" s="223"/>
      <c r="J13" s="16"/>
      <c r="K13" s="224">
        <v>730.58</v>
      </c>
      <c r="L13" s="225"/>
      <c r="N13" s="224">
        <v>730.58</v>
      </c>
      <c r="O13" s="225"/>
      <c r="Q13" s="111" t="s">
        <v>165</v>
      </c>
      <c r="R13" s="136"/>
      <c r="S13" s="84">
        <v>69.17</v>
      </c>
      <c r="T13" s="118"/>
      <c r="U13" s="84">
        <f>S13</f>
        <v>69.17</v>
      </c>
      <c r="V13" s="118"/>
      <c r="W13" s="148"/>
      <c r="X13" s="222" t="s">
        <v>24</v>
      </c>
      <c r="Y13" s="223"/>
      <c r="Z13" s="16"/>
      <c r="AA13" s="224">
        <v>730.58</v>
      </c>
      <c r="AB13" s="225"/>
      <c r="AD13" s="204">
        <v>730.58</v>
      </c>
      <c r="AE13" s="204"/>
    </row>
    <row r="14" spans="1:31" ht="15" customHeight="1">
      <c r="A14" s="80" t="s">
        <v>129</v>
      </c>
      <c r="B14" s="134"/>
      <c r="C14" s="112">
        <v>152.2</v>
      </c>
      <c r="D14" s="118"/>
      <c r="E14" s="112">
        <v>152.2</v>
      </c>
      <c r="F14" s="118"/>
      <c r="G14" s="148"/>
      <c r="H14" s="222" t="s">
        <v>98</v>
      </c>
      <c r="I14" s="223"/>
      <c r="J14" s="16"/>
      <c r="K14" s="224">
        <v>727</v>
      </c>
      <c r="L14" s="225"/>
      <c r="N14" s="224">
        <v>727</v>
      </c>
      <c r="O14" s="225"/>
      <c r="Q14" s="111" t="s">
        <v>164</v>
      </c>
      <c r="R14" s="134"/>
      <c r="S14" s="112">
        <v>152.2</v>
      </c>
      <c r="T14" s="118"/>
      <c r="U14" s="112">
        <v>152.2</v>
      </c>
      <c r="V14" s="118"/>
      <c r="W14" s="148"/>
      <c r="X14" s="17" t="s">
        <v>25</v>
      </c>
      <c r="Y14" s="121"/>
      <c r="Z14" s="16"/>
      <c r="AA14" s="224">
        <v>727</v>
      </c>
      <c r="AB14" s="225"/>
      <c r="AD14" s="204">
        <v>727</v>
      </c>
      <c r="AE14" s="204"/>
    </row>
    <row r="15" spans="1:31" ht="15" customHeight="1">
      <c r="A15" s="80" t="s">
        <v>130</v>
      </c>
      <c r="B15" s="134"/>
      <c r="C15" s="84">
        <v>1168.84</v>
      </c>
      <c r="D15" s="118"/>
      <c r="E15" s="84">
        <v>1168.84</v>
      </c>
      <c r="F15" s="118"/>
      <c r="G15" s="148"/>
      <c r="H15" s="222" t="s">
        <v>131</v>
      </c>
      <c r="I15" s="223"/>
      <c r="J15" s="16"/>
      <c r="K15" s="224">
        <v>1168.84</v>
      </c>
      <c r="L15" s="225"/>
      <c r="N15" s="224">
        <v>1168.84</v>
      </c>
      <c r="O15" s="225"/>
      <c r="Q15" s="80" t="s">
        <v>166</v>
      </c>
      <c r="R15" s="134"/>
      <c r="S15" s="84">
        <v>1168.84</v>
      </c>
      <c r="T15" s="118"/>
      <c r="U15" s="84">
        <v>1168.84</v>
      </c>
      <c r="V15" s="118"/>
      <c r="W15" s="148"/>
      <c r="X15" s="222" t="s">
        <v>174</v>
      </c>
      <c r="Y15" s="223"/>
      <c r="Z15" s="16"/>
      <c r="AA15" s="224">
        <v>1168.84</v>
      </c>
      <c r="AB15" s="225"/>
      <c r="AD15" s="204">
        <v>1168.84</v>
      </c>
      <c r="AE15" s="204"/>
    </row>
    <row r="16" spans="1:31" ht="15" customHeight="1">
      <c r="A16" s="81" t="s">
        <v>158</v>
      </c>
      <c r="B16" s="137"/>
      <c r="C16" s="84">
        <v>2869.49</v>
      </c>
      <c r="D16" s="118"/>
      <c r="E16" s="84">
        <v>2869.49</v>
      </c>
      <c r="F16" s="118"/>
      <c r="G16" s="147"/>
      <c r="H16" s="115" t="s">
        <v>4</v>
      </c>
      <c r="I16" s="116"/>
      <c r="J16" s="18"/>
      <c r="K16" s="227">
        <f>L17</f>
        <v>0</v>
      </c>
      <c r="L16" s="228"/>
      <c r="N16" s="227">
        <f>O17</f>
        <v>1040.4309999999998</v>
      </c>
      <c r="O16" s="228"/>
      <c r="Q16" s="81" t="s">
        <v>167</v>
      </c>
      <c r="R16" s="137"/>
      <c r="S16" s="84">
        <v>2869.49</v>
      </c>
      <c r="T16" s="118"/>
      <c r="U16" s="84">
        <v>2869.49</v>
      </c>
      <c r="V16" s="118"/>
      <c r="W16" s="147"/>
      <c r="X16" s="115" t="s">
        <v>175</v>
      </c>
      <c r="Y16" s="116"/>
      <c r="Z16" s="18"/>
      <c r="AA16" s="227">
        <f>AB17</f>
        <v>0</v>
      </c>
      <c r="AB16" s="228"/>
      <c r="AD16" s="227">
        <f>AE17</f>
        <v>1040.4309999999998</v>
      </c>
      <c r="AE16" s="228"/>
    </row>
    <row r="17" spans="1:31" ht="15" customHeight="1">
      <c r="A17" s="131" t="s">
        <v>114</v>
      </c>
      <c r="B17" s="139"/>
      <c r="C17" s="132">
        <f>C16+C15+C14+C13+C12+C9</f>
        <v>7385.639999999999</v>
      </c>
      <c r="D17" s="120"/>
      <c r="E17" s="132">
        <f>E16+E15+E14+E13+E12+E9</f>
        <v>7385.639999999999</v>
      </c>
      <c r="F17" s="120"/>
      <c r="G17" s="147"/>
      <c r="H17" s="222" t="s">
        <v>5</v>
      </c>
      <c r="I17" s="223"/>
      <c r="J17" s="125"/>
      <c r="K17" s="9"/>
      <c r="L17" s="5"/>
      <c r="N17" s="130">
        <v>0.7</v>
      </c>
      <c r="O17" s="8">
        <f>1486.33*N17</f>
        <v>1040.4309999999998</v>
      </c>
      <c r="Q17" s="131" t="s">
        <v>168</v>
      </c>
      <c r="R17" s="139"/>
      <c r="S17" s="132">
        <f>S16+S15+S14+S13+S12+S9</f>
        <v>7385.639999999999</v>
      </c>
      <c r="T17" s="120"/>
      <c r="U17" s="132">
        <f>U16+U15+U14+U13+U12+U9</f>
        <v>7385.639999999999</v>
      </c>
      <c r="V17" s="120"/>
      <c r="W17" s="147"/>
      <c r="X17" s="222" t="s">
        <v>30</v>
      </c>
      <c r="Y17" s="223"/>
      <c r="Z17" s="125"/>
      <c r="AA17" s="9"/>
      <c r="AB17" s="5"/>
      <c r="AD17" s="130">
        <v>0.7</v>
      </c>
      <c r="AE17" s="8">
        <f>1486.33*AD17</f>
        <v>1040.4309999999998</v>
      </c>
    </row>
    <row r="18" spans="1:31" ht="15" customHeight="1">
      <c r="A18" s="131" t="s">
        <v>115</v>
      </c>
      <c r="B18" s="140"/>
      <c r="C18" s="141"/>
      <c r="D18" s="120"/>
      <c r="E18" s="132">
        <f>E17+258</f>
        <v>7643.639999999999</v>
      </c>
      <c r="F18" s="120"/>
      <c r="G18" s="147"/>
      <c r="H18" s="222" t="s">
        <v>102</v>
      </c>
      <c r="I18" s="223"/>
      <c r="J18" s="125"/>
      <c r="K18" s="4"/>
      <c r="L18" s="5"/>
      <c r="N18" s="12"/>
      <c r="O18" s="129"/>
      <c r="Q18" s="131" t="s">
        <v>169</v>
      </c>
      <c r="R18" s="140"/>
      <c r="S18" s="141"/>
      <c r="T18" s="120"/>
      <c r="U18" s="132">
        <f>U17+258</f>
        <v>7643.639999999999</v>
      </c>
      <c r="V18" s="120"/>
      <c r="W18" s="147"/>
      <c r="X18" s="222" t="s">
        <v>91</v>
      </c>
      <c r="Y18" s="223"/>
      <c r="Z18" s="125"/>
      <c r="AA18" s="4"/>
      <c r="AB18" s="5"/>
      <c r="AD18" s="12"/>
      <c r="AE18" s="129"/>
    </row>
    <row r="19" spans="6:31" ht="15.75" customHeight="1">
      <c r="F19" s="2"/>
      <c r="G19" s="147"/>
      <c r="H19" s="222" t="s">
        <v>6</v>
      </c>
      <c r="I19" s="223"/>
      <c r="J19" s="125"/>
      <c r="K19" s="4"/>
      <c r="L19" s="5"/>
      <c r="N19" s="12"/>
      <c r="O19" s="129"/>
      <c r="V19" s="2"/>
      <c r="W19" s="147"/>
      <c r="X19" s="222" t="s">
        <v>31</v>
      </c>
      <c r="Y19" s="223"/>
      <c r="Z19" s="125"/>
      <c r="AA19" s="4"/>
      <c r="AB19" s="5"/>
      <c r="AD19" s="12"/>
      <c r="AE19" s="129"/>
    </row>
    <row r="20" spans="1:31" ht="15" customHeight="1">
      <c r="A20" s="113"/>
      <c r="B20" s="138"/>
      <c r="F20" s="2"/>
      <c r="G20" s="149"/>
      <c r="H20" s="209" t="s">
        <v>7</v>
      </c>
      <c r="I20" s="210"/>
      <c r="J20" s="18"/>
      <c r="K20" s="227">
        <f>K22+K23</f>
        <v>1913.6727999999998</v>
      </c>
      <c r="L20" s="228"/>
      <c r="N20" s="227">
        <f>N22+N23</f>
        <v>1996.90728</v>
      </c>
      <c r="O20" s="228"/>
      <c r="Q20" s="113"/>
      <c r="R20" s="138"/>
      <c r="V20" s="2"/>
      <c r="W20" s="149"/>
      <c r="X20" s="209" t="s">
        <v>33</v>
      </c>
      <c r="Y20" s="210"/>
      <c r="Z20" s="18"/>
      <c r="AA20" s="227">
        <f>AA22+AA23</f>
        <v>1913.6727999999998</v>
      </c>
      <c r="AB20" s="228"/>
      <c r="AD20" s="227">
        <f>AD22+AD23</f>
        <v>1996.90728</v>
      </c>
      <c r="AE20" s="228"/>
    </row>
    <row r="21" spans="2:31" ht="15" customHeight="1">
      <c r="B21" s="15"/>
      <c r="F21" s="2"/>
      <c r="G21" s="149"/>
      <c r="H21" s="17" t="s">
        <v>103</v>
      </c>
      <c r="I21" s="7">
        <v>0</v>
      </c>
      <c r="J21" s="126"/>
      <c r="K21" s="224">
        <v>0</v>
      </c>
      <c r="L21" s="225"/>
      <c r="N21" s="224">
        <v>0</v>
      </c>
      <c r="O21" s="225"/>
      <c r="R21" s="15"/>
      <c r="V21" s="2"/>
      <c r="W21" s="149"/>
      <c r="X21" s="17" t="s">
        <v>176</v>
      </c>
      <c r="Y21" s="7">
        <v>0</v>
      </c>
      <c r="Z21" s="126"/>
      <c r="AA21" s="224">
        <v>0</v>
      </c>
      <c r="AB21" s="225"/>
      <c r="AD21" s="224">
        <v>0</v>
      </c>
      <c r="AE21" s="225"/>
    </row>
    <row r="22" spans="6:31" ht="15" customHeight="1">
      <c r="F22" s="2"/>
      <c r="G22" s="143"/>
      <c r="H22" s="17" t="s">
        <v>15</v>
      </c>
      <c r="I22" s="11">
        <v>2.5</v>
      </c>
      <c r="J22" s="127"/>
      <c r="K22" s="224">
        <f>136*I22*4.345</f>
        <v>1477.3</v>
      </c>
      <c r="L22" s="225"/>
      <c r="N22" s="224">
        <f>136*I22*4.345</f>
        <v>1477.3</v>
      </c>
      <c r="O22" s="225"/>
      <c r="V22" s="2"/>
      <c r="W22" s="143"/>
      <c r="X22" s="17" t="s">
        <v>60</v>
      </c>
      <c r="Y22" s="11">
        <v>2.5</v>
      </c>
      <c r="Z22" s="127"/>
      <c r="AA22" s="224">
        <f>136*Y22*4.345</f>
        <v>1477.3</v>
      </c>
      <c r="AB22" s="225"/>
      <c r="AD22" s="224">
        <f>136*Y22*4.345</f>
        <v>1477.3</v>
      </c>
      <c r="AE22" s="225"/>
    </row>
    <row r="23" spans="6:31" ht="15" customHeight="1">
      <c r="F23" s="2"/>
      <c r="G23" s="143"/>
      <c r="H23" s="17" t="s">
        <v>8</v>
      </c>
      <c r="I23" s="7">
        <v>0.08</v>
      </c>
      <c r="J23" s="126"/>
      <c r="K23" s="224">
        <f>(K8+K16)*8%</f>
        <v>436.3728</v>
      </c>
      <c r="L23" s="225"/>
      <c r="N23" s="224">
        <f>(N8+N16)*8%</f>
        <v>519.60728</v>
      </c>
      <c r="O23" s="225"/>
      <c r="V23" s="2"/>
      <c r="W23" s="143"/>
      <c r="X23" s="17" t="s">
        <v>34</v>
      </c>
      <c r="Y23" s="7">
        <v>0.08</v>
      </c>
      <c r="Z23" s="126"/>
      <c r="AA23" s="224">
        <f>(AA8+AA16)*8%</f>
        <v>436.3728</v>
      </c>
      <c r="AB23" s="225"/>
      <c r="AD23" s="224">
        <f>(AD8+AD16)*8%</f>
        <v>519.60728</v>
      </c>
      <c r="AE23" s="225"/>
    </row>
    <row r="24" spans="6:31" ht="15" customHeight="1">
      <c r="F24" s="2"/>
      <c r="G24" s="143"/>
      <c r="H24" s="209" t="s">
        <v>16</v>
      </c>
      <c r="I24" s="210"/>
      <c r="J24" s="18"/>
      <c r="K24" s="205">
        <f>K26</f>
        <v>590.92</v>
      </c>
      <c r="L24" s="206"/>
      <c r="N24" s="205">
        <f>N25</f>
        <v>162.35793295937498</v>
      </c>
      <c r="O24" s="206"/>
      <c r="V24" s="2"/>
      <c r="W24" s="143"/>
      <c r="X24" s="209" t="s">
        <v>35</v>
      </c>
      <c r="Y24" s="210"/>
      <c r="Z24" s="18"/>
      <c r="AA24" s="205">
        <f>AA26</f>
        <v>590.92</v>
      </c>
      <c r="AB24" s="206"/>
      <c r="AD24" s="205">
        <f>AD25</f>
        <v>162.35793295937498</v>
      </c>
      <c r="AE24" s="206"/>
    </row>
    <row r="25" spans="6:31" ht="15" customHeight="1">
      <c r="F25" s="2"/>
      <c r="G25" s="143"/>
      <c r="H25" s="222" t="s">
        <v>191</v>
      </c>
      <c r="I25" s="223"/>
      <c r="J25" s="125"/>
      <c r="K25" s="224"/>
      <c r="L25" s="225"/>
      <c r="N25" s="224">
        <f>(N9+N12+N13+N16)/160*130%*4.345-0.01</f>
        <v>162.35793295937498</v>
      </c>
      <c r="O25" s="225"/>
      <c r="V25" s="2"/>
      <c r="W25" s="143"/>
      <c r="X25" s="222" t="s">
        <v>40</v>
      </c>
      <c r="Y25" s="223"/>
      <c r="Z25" s="125"/>
      <c r="AA25" s="224"/>
      <c r="AB25" s="225"/>
      <c r="AD25" s="224">
        <f>N25</f>
        <v>162.35793295937498</v>
      </c>
      <c r="AE25" s="225"/>
    </row>
    <row r="26" spans="6:31" ht="15" customHeight="1">
      <c r="F26" s="2"/>
      <c r="G26" s="143"/>
      <c r="H26" s="222" t="s">
        <v>11</v>
      </c>
      <c r="I26" s="223"/>
      <c r="J26" s="16"/>
      <c r="K26" s="224">
        <f>136*1*4.345</f>
        <v>590.92</v>
      </c>
      <c r="L26" s="225"/>
      <c r="N26" s="240">
        <v>0</v>
      </c>
      <c r="O26" s="241"/>
      <c r="V26" s="2"/>
      <c r="W26" s="143"/>
      <c r="X26" s="222" t="s">
        <v>36</v>
      </c>
      <c r="Y26" s="223"/>
      <c r="Z26" s="16"/>
      <c r="AA26" s="224">
        <f>136*1*4.345</f>
        <v>590.92</v>
      </c>
      <c r="AB26" s="225"/>
      <c r="AD26" s="240">
        <v>0</v>
      </c>
      <c r="AE26" s="241"/>
    </row>
    <row r="27" spans="6:31" ht="15" customHeight="1">
      <c r="F27" s="2"/>
      <c r="G27" s="143"/>
      <c r="H27" s="222" t="s">
        <v>12</v>
      </c>
      <c r="I27" s="223"/>
      <c r="J27" s="16"/>
      <c r="K27" s="224">
        <v>0</v>
      </c>
      <c r="L27" s="225"/>
      <c r="N27" s="240">
        <v>0</v>
      </c>
      <c r="O27" s="241"/>
      <c r="V27" s="2"/>
      <c r="W27" s="143"/>
      <c r="X27" s="222" t="s">
        <v>37</v>
      </c>
      <c r="Y27" s="223"/>
      <c r="Z27" s="16"/>
      <c r="AA27" s="224">
        <v>0</v>
      </c>
      <c r="AB27" s="225"/>
      <c r="AD27" s="242">
        <v>0</v>
      </c>
      <c r="AE27" s="242"/>
    </row>
    <row r="28" spans="6:31" ht="15" customHeight="1">
      <c r="F28" s="2"/>
      <c r="G28" s="143"/>
      <c r="H28" s="222" t="s">
        <v>13</v>
      </c>
      <c r="I28" s="223"/>
      <c r="J28" s="16"/>
      <c r="K28" s="224">
        <v>0</v>
      </c>
      <c r="L28" s="225"/>
      <c r="N28" s="240">
        <v>0</v>
      </c>
      <c r="O28" s="241"/>
      <c r="V28" s="2"/>
      <c r="W28" s="143"/>
      <c r="X28" s="222" t="s">
        <v>38</v>
      </c>
      <c r="Y28" s="223"/>
      <c r="Z28" s="16"/>
      <c r="AA28" s="224">
        <v>0</v>
      </c>
      <c r="AB28" s="225"/>
      <c r="AD28" s="242">
        <v>0</v>
      </c>
      <c r="AE28" s="242"/>
    </row>
    <row r="29" spans="6:31" ht="27" customHeight="1">
      <c r="F29" s="2"/>
      <c r="G29" s="143"/>
      <c r="H29" s="207" t="s">
        <v>51</v>
      </c>
      <c r="I29" s="208"/>
      <c r="J29" s="18"/>
      <c r="K29" s="217">
        <f>K8+K16+K20+K24</f>
        <v>7959.2528</v>
      </c>
      <c r="L29" s="218"/>
      <c r="N29" s="217">
        <f>N8+N16+N20+N24</f>
        <v>8654.356212959376</v>
      </c>
      <c r="O29" s="218"/>
      <c r="V29" s="2"/>
      <c r="W29" s="143"/>
      <c r="X29" s="207" t="s">
        <v>177</v>
      </c>
      <c r="Y29" s="208"/>
      <c r="Z29" s="18"/>
      <c r="AA29" s="217">
        <f>AA8+AA16+AA20+AA24</f>
        <v>7959.2528</v>
      </c>
      <c r="AB29" s="218"/>
      <c r="AD29" s="243">
        <f>AD8+AD16+AD20+AD24</f>
        <v>8654.356212959376</v>
      </c>
      <c r="AE29" s="243"/>
    </row>
    <row r="30" spans="6:23" ht="12.75" customHeight="1">
      <c r="F30" s="2"/>
      <c r="G30" s="143"/>
      <c r="V30" s="2"/>
      <c r="W30" s="143"/>
    </row>
    <row r="31" spans="6:23" ht="14.25" customHeight="1">
      <c r="F31" s="2"/>
      <c r="G31" s="143"/>
      <c r="V31" s="2"/>
      <c r="W31" s="143"/>
    </row>
    <row r="32" spans="6:23" ht="12.75">
      <c r="F32" s="2"/>
      <c r="G32" s="143"/>
      <c r="V32" s="2"/>
      <c r="W32" s="143"/>
    </row>
    <row r="33" spans="6:24" ht="15" customHeight="1">
      <c r="F33" s="2"/>
      <c r="G33" s="143"/>
      <c r="H33" s="68" t="s">
        <v>247</v>
      </c>
      <c r="V33" s="2"/>
      <c r="W33" s="143"/>
      <c r="X33" s="68" t="s">
        <v>248</v>
      </c>
    </row>
    <row r="34" spans="6:23" ht="12.75">
      <c r="F34" s="2"/>
      <c r="G34" s="143"/>
      <c r="V34" s="2"/>
      <c r="W34" s="143"/>
    </row>
    <row r="35" spans="6:23" ht="12.75">
      <c r="F35" s="2"/>
      <c r="G35" s="143"/>
      <c r="V35" s="2"/>
      <c r="W35" s="143"/>
    </row>
    <row r="36" spans="6:23" ht="12.75">
      <c r="F36" s="2"/>
      <c r="G36" s="143"/>
      <c r="V36" s="2"/>
      <c r="W36" s="143"/>
    </row>
    <row r="37" spans="6:23" ht="12.75">
      <c r="F37" s="2"/>
      <c r="G37" s="143"/>
      <c r="V37" s="2"/>
      <c r="W37" s="143"/>
    </row>
    <row r="38" spans="6:23" ht="12.75">
      <c r="F38" s="2"/>
      <c r="G38" s="143"/>
      <c r="V38" s="2"/>
      <c r="W38" s="143"/>
    </row>
    <row r="39" spans="6:23" ht="12.75">
      <c r="F39" s="2"/>
      <c r="G39" s="143"/>
      <c r="V39" s="2"/>
      <c r="W39" s="143"/>
    </row>
    <row r="40" spans="6:23" ht="12.75">
      <c r="F40" s="2"/>
      <c r="G40" s="143"/>
      <c r="V40" s="2"/>
      <c r="W40" s="143"/>
    </row>
    <row r="41" spans="6:23" ht="12.75">
      <c r="F41" s="2"/>
      <c r="G41" s="143"/>
      <c r="V41" s="2"/>
      <c r="W41" s="143"/>
    </row>
    <row r="42" spans="6:23" ht="12.75">
      <c r="F42" s="2"/>
      <c r="G42" s="143"/>
      <c r="V42" s="2"/>
      <c r="W42" s="143"/>
    </row>
    <row r="43" spans="6:23" ht="12.75">
      <c r="F43" s="2"/>
      <c r="G43" s="143"/>
      <c r="V43" s="2"/>
      <c r="W43" s="143"/>
    </row>
    <row r="44" spans="6:23" ht="12.75">
      <c r="F44" s="2"/>
      <c r="G44" s="143"/>
      <c r="V44" s="2"/>
      <c r="W44" s="143"/>
    </row>
    <row r="45" spans="6:23" ht="12.75">
      <c r="F45" s="2"/>
      <c r="G45" s="143"/>
      <c r="V45" s="2"/>
      <c r="W45" s="143"/>
    </row>
    <row r="46" spans="6:23" ht="12.75">
      <c r="F46" s="2"/>
      <c r="G46" s="143"/>
      <c r="V46" s="2"/>
      <c r="W46" s="143"/>
    </row>
    <row r="47" spans="6:23" ht="12.75">
      <c r="F47" s="2"/>
      <c r="G47" s="143"/>
      <c r="V47" s="2"/>
      <c r="W47" s="143"/>
    </row>
    <row r="48" spans="6:23" ht="12.75">
      <c r="F48" s="2"/>
      <c r="G48" s="143"/>
      <c r="V48" s="2"/>
      <c r="W48" s="143"/>
    </row>
    <row r="49" spans="6:23" ht="12.75">
      <c r="F49" s="2"/>
      <c r="G49" s="143"/>
      <c r="V49" s="2"/>
      <c r="W49" s="143"/>
    </row>
    <row r="50" spans="6:23" ht="12.75">
      <c r="F50" s="2"/>
      <c r="G50" s="143"/>
      <c r="V50" s="2"/>
      <c r="W50" s="143"/>
    </row>
    <row r="51" spans="6:23" ht="12.75">
      <c r="F51" s="2"/>
      <c r="G51" s="143"/>
      <c r="V51" s="2"/>
      <c r="W51" s="143"/>
    </row>
    <row r="52" spans="6:24" ht="12.75">
      <c r="F52" s="2"/>
      <c r="H52" s="2"/>
      <c r="V52" s="2"/>
      <c r="X52" s="2"/>
    </row>
    <row r="53" spans="6:24" ht="12.75">
      <c r="F53" s="2"/>
      <c r="H53" s="2"/>
      <c r="V53" s="2"/>
      <c r="X53" s="2"/>
    </row>
    <row r="54" spans="6:24" ht="12.75">
      <c r="F54" s="2"/>
      <c r="H54" s="2"/>
      <c r="V54" s="2"/>
      <c r="X54" s="2"/>
    </row>
    <row r="55" spans="6:24" ht="12.75">
      <c r="F55" s="2"/>
      <c r="H55" s="2"/>
      <c r="V55" s="2"/>
      <c r="X55" s="2"/>
    </row>
    <row r="56" spans="6:24" ht="12.75">
      <c r="F56" s="2"/>
      <c r="H56" s="2"/>
      <c r="V56" s="2"/>
      <c r="X56" s="2"/>
    </row>
    <row r="57" spans="6:24" ht="12.75">
      <c r="F57" s="2"/>
      <c r="H57" s="2"/>
      <c r="V57" s="2"/>
      <c r="X57" s="2"/>
    </row>
    <row r="58" spans="6:24" ht="12.75">
      <c r="F58" s="2"/>
      <c r="H58" s="2"/>
      <c r="V58" s="2"/>
      <c r="X58" s="2"/>
    </row>
    <row r="59" spans="6:24" ht="12.75">
      <c r="F59" s="2"/>
      <c r="H59" s="2"/>
      <c r="V59" s="2"/>
      <c r="X59" s="2"/>
    </row>
    <row r="60" spans="6:24" ht="12.75">
      <c r="F60" s="2"/>
      <c r="H60" s="2"/>
      <c r="V60" s="2"/>
      <c r="X60" s="2"/>
    </row>
    <row r="61" spans="6:24" ht="12.75">
      <c r="F61" s="2"/>
      <c r="H61" s="2"/>
      <c r="V61" s="2"/>
      <c r="X61" s="2"/>
    </row>
    <row r="62" spans="6:24" ht="12.75">
      <c r="F62" s="2"/>
      <c r="H62" s="2"/>
      <c r="V62" s="2"/>
      <c r="X62" s="2"/>
    </row>
    <row r="63" spans="6:24" ht="12.75">
      <c r="F63" s="2"/>
      <c r="H63" s="2"/>
      <c r="V63" s="2"/>
      <c r="X63" s="2"/>
    </row>
    <row r="64" spans="6:24" ht="12.75">
      <c r="F64" s="2"/>
      <c r="H64" s="2"/>
      <c r="V64" s="2"/>
      <c r="X64" s="2"/>
    </row>
    <row r="65" spans="6:24" ht="12.75">
      <c r="F65" s="2"/>
      <c r="H65" s="2"/>
      <c r="V65" s="2"/>
      <c r="X65" s="2"/>
    </row>
    <row r="66" spans="6:24" ht="12.75">
      <c r="F66" s="2"/>
      <c r="H66" s="2"/>
      <c r="V66" s="2"/>
      <c r="X66" s="2"/>
    </row>
    <row r="67" spans="6:24" ht="12.75">
      <c r="F67" s="2"/>
      <c r="H67" s="2"/>
      <c r="V67" s="2"/>
      <c r="X67" s="2"/>
    </row>
    <row r="68" spans="6:24" ht="12.75">
      <c r="F68" s="2"/>
      <c r="H68" s="2"/>
      <c r="V68" s="2"/>
      <c r="X68" s="2"/>
    </row>
    <row r="69" spans="6:24" ht="12.75">
      <c r="F69" s="2"/>
      <c r="H69" s="2"/>
      <c r="V69" s="2"/>
      <c r="X69" s="2"/>
    </row>
    <row r="70" spans="6:24" ht="12.75">
      <c r="F70" s="2"/>
      <c r="H70" s="2"/>
      <c r="V70" s="2"/>
      <c r="X70" s="2"/>
    </row>
    <row r="71" spans="6:24" ht="12.75">
      <c r="F71" s="2"/>
      <c r="H71" s="2"/>
      <c r="V71" s="2"/>
      <c r="X71" s="2"/>
    </row>
    <row r="72" spans="6:24" ht="12.75">
      <c r="F72" s="2"/>
      <c r="H72" s="2"/>
      <c r="V72" s="2"/>
      <c r="X72" s="2"/>
    </row>
    <row r="73" spans="6:24" ht="12.75">
      <c r="F73" s="2"/>
      <c r="H73" s="2"/>
      <c r="V73" s="2"/>
      <c r="X73" s="2"/>
    </row>
    <row r="74" spans="6:24" ht="12.75">
      <c r="F74" s="2"/>
      <c r="H74" s="2"/>
      <c r="V74" s="2"/>
      <c r="X74" s="2"/>
    </row>
    <row r="75" spans="6:24" ht="12.75">
      <c r="F75" s="2"/>
      <c r="H75" s="2"/>
      <c r="V75" s="2"/>
      <c r="X75" s="2"/>
    </row>
    <row r="76" spans="6:24" ht="12.75">
      <c r="F76" s="2"/>
      <c r="H76" s="2"/>
      <c r="V76" s="2"/>
      <c r="X76" s="2"/>
    </row>
    <row r="77" spans="6:24" ht="12.75">
      <c r="F77" s="2"/>
      <c r="H77" s="2"/>
      <c r="V77" s="2"/>
      <c r="X77" s="2"/>
    </row>
    <row r="78" spans="6:24" ht="12.75">
      <c r="F78" s="2"/>
      <c r="H78" s="2"/>
      <c r="V78" s="2"/>
      <c r="X78" s="2"/>
    </row>
    <row r="79" spans="6:24" ht="12.75">
      <c r="F79" s="2"/>
      <c r="H79" s="2"/>
      <c r="V79" s="2"/>
      <c r="X79" s="2"/>
    </row>
    <row r="80" spans="6:24" ht="12.75">
      <c r="F80" s="2"/>
      <c r="H80" s="2"/>
      <c r="V80" s="2"/>
      <c r="X80" s="2"/>
    </row>
  </sheetData>
  <mergeCells count="111">
    <mergeCell ref="C6:C7"/>
    <mergeCell ref="E6:E7"/>
    <mergeCell ref="N27:O27"/>
    <mergeCell ref="K23:L23"/>
    <mergeCell ref="K24:L24"/>
    <mergeCell ref="N16:O16"/>
    <mergeCell ref="K16:L16"/>
    <mergeCell ref="K26:L26"/>
    <mergeCell ref="N23:O23"/>
    <mergeCell ref="N24:O24"/>
    <mergeCell ref="N25:O25"/>
    <mergeCell ref="N26:O26"/>
    <mergeCell ref="H15:I15"/>
    <mergeCell ref="H25:I25"/>
    <mergeCell ref="H24:I24"/>
    <mergeCell ref="N22:O22"/>
    <mergeCell ref="N21:O21"/>
    <mergeCell ref="N20:O20"/>
    <mergeCell ref="X29:Y29"/>
    <mergeCell ref="AA29:AB29"/>
    <mergeCell ref="AD29:AE29"/>
    <mergeCell ref="X10:Y10"/>
    <mergeCell ref="X11:Y11"/>
    <mergeCell ref="X27:Y27"/>
    <mergeCell ref="AA27:AB27"/>
    <mergeCell ref="AD27:AE27"/>
    <mergeCell ref="X28:Y28"/>
    <mergeCell ref="AA28:AB28"/>
    <mergeCell ref="AD28:AE28"/>
    <mergeCell ref="X25:Y25"/>
    <mergeCell ref="AA25:AB25"/>
    <mergeCell ref="AD25:AE25"/>
    <mergeCell ref="X26:Y26"/>
    <mergeCell ref="AA26:AB26"/>
    <mergeCell ref="AD26:AE26"/>
    <mergeCell ref="AA23:AB23"/>
    <mergeCell ref="AD23:AE23"/>
    <mergeCell ref="X24:Y24"/>
    <mergeCell ref="AA24:AB24"/>
    <mergeCell ref="AD24:AE24"/>
    <mergeCell ref="AA21:AB21"/>
    <mergeCell ref="AD21:AE21"/>
    <mergeCell ref="AA22:AB22"/>
    <mergeCell ref="AD22:AE22"/>
    <mergeCell ref="X19:Y19"/>
    <mergeCell ref="X20:Y20"/>
    <mergeCell ref="AA20:AB20"/>
    <mergeCell ref="AD20:AE20"/>
    <mergeCell ref="AA16:AB16"/>
    <mergeCell ref="AD16:AE16"/>
    <mergeCell ref="X17:Y17"/>
    <mergeCell ref="X18:Y18"/>
    <mergeCell ref="AA14:AB14"/>
    <mergeCell ref="AD14:AE14"/>
    <mergeCell ref="X15:Y15"/>
    <mergeCell ref="AA15:AB15"/>
    <mergeCell ref="AD15:AE15"/>
    <mergeCell ref="X12:Y12"/>
    <mergeCell ref="AA12:AB12"/>
    <mergeCell ref="AD12:AE12"/>
    <mergeCell ref="X13:Y13"/>
    <mergeCell ref="AA13:AB13"/>
    <mergeCell ref="AD13:AE13"/>
    <mergeCell ref="X8:Y8"/>
    <mergeCell ref="AA8:AB8"/>
    <mergeCell ref="AD8:AE8"/>
    <mergeCell ref="X9:Y9"/>
    <mergeCell ref="AA9:AB9"/>
    <mergeCell ref="AD9:AE9"/>
    <mergeCell ref="Q3:U3"/>
    <mergeCell ref="X3:AF3"/>
    <mergeCell ref="AA6:AB6"/>
    <mergeCell ref="AD6:AE6"/>
    <mergeCell ref="K6:L6"/>
    <mergeCell ref="K29:L29"/>
    <mergeCell ref="K28:L28"/>
    <mergeCell ref="K27:L27"/>
    <mergeCell ref="K25:L25"/>
    <mergeCell ref="K22:L22"/>
    <mergeCell ref="K21:L21"/>
    <mergeCell ref="K20:L20"/>
    <mergeCell ref="K15:L15"/>
    <mergeCell ref="K14:L14"/>
    <mergeCell ref="K13:L13"/>
    <mergeCell ref="K9:L9"/>
    <mergeCell ref="K8:L8"/>
    <mergeCell ref="H13:I13"/>
    <mergeCell ref="K12:L12"/>
    <mergeCell ref="H8:I8"/>
    <mergeCell ref="H9:I9"/>
    <mergeCell ref="H12:I12"/>
    <mergeCell ref="H29:I29"/>
    <mergeCell ref="N8:O8"/>
    <mergeCell ref="N9:O9"/>
    <mergeCell ref="N12:O12"/>
    <mergeCell ref="N13:O13"/>
    <mergeCell ref="N14:O14"/>
    <mergeCell ref="N15:O15"/>
    <mergeCell ref="N28:O28"/>
    <mergeCell ref="N29:O29"/>
    <mergeCell ref="H14:I14"/>
    <mergeCell ref="H3:P3"/>
    <mergeCell ref="N6:O6"/>
    <mergeCell ref="A3:E3"/>
    <mergeCell ref="H28:I28"/>
    <mergeCell ref="H17:I17"/>
    <mergeCell ref="H26:I26"/>
    <mergeCell ref="H27:I27"/>
    <mergeCell ref="H18:I18"/>
    <mergeCell ref="H19:I19"/>
    <mergeCell ref="H20:I20"/>
  </mergeCells>
  <printOptions/>
  <pageMargins left="0.31496062992125984" right="0" top="0.31496062992125984" bottom="0" header="0.5118110236220472" footer="0.5118110236220472"/>
  <pageSetup horizontalDpi="600" verticalDpi="600" orientation="landscape" paperSize="9" scale="70" r:id="rId4"/>
  <drawing r:id="rId3"/>
  <legacyDrawing r:id="rId2"/>
</worksheet>
</file>

<file path=xl/worksheets/sheet9.xml><?xml version="1.0" encoding="utf-8"?>
<worksheet xmlns="http://schemas.openxmlformats.org/spreadsheetml/2006/main" xmlns:r="http://schemas.openxmlformats.org/officeDocument/2006/relationships">
  <dimension ref="A1:BQ65"/>
  <sheetViews>
    <sheetView tabSelected="1" view="pageBreakPreview" zoomScaleSheetLayoutView="100" workbookViewId="0" topLeftCell="AN27">
      <selection activeCell="J3" sqref="J3:AM3"/>
    </sheetView>
  </sheetViews>
  <sheetFormatPr defaultColWidth="11.421875" defaultRowHeight="12.75" outlineLevelRow="1" outlineLevelCol="1"/>
  <cols>
    <col min="1" max="1" width="27.8515625" style="1" hidden="1" customWidth="1" outlineLevel="1"/>
    <col min="2" max="2" width="16.28125" style="1" hidden="1" customWidth="1" outlineLevel="1"/>
    <col min="3" max="3" width="11.421875" style="1" hidden="1" customWidth="1" outlineLevel="1"/>
    <col min="4" max="4" width="5.57421875" style="1" hidden="1" customWidth="1" outlineLevel="1"/>
    <col min="5" max="5" width="6.421875" style="1" hidden="1" customWidth="1" outlineLevel="1"/>
    <col min="6" max="6" width="13.7109375" style="1" hidden="1" customWidth="1" outlineLevel="1"/>
    <col min="7" max="7" width="3.00390625" style="1" hidden="1" customWidth="1" outlineLevel="1"/>
    <col min="8" max="8" width="5.140625" style="1" hidden="1" customWidth="1" outlineLevel="1"/>
    <col min="9" max="9" width="7.140625" style="1" hidden="1" customWidth="1" outlineLevel="1"/>
    <col min="10" max="10" width="15.00390625" style="1" customWidth="1" collapsed="1"/>
    <col min="11" max="11" width="38.00390625" style="1" customWidth="1"/>
    <col min="12" max="12" width="5.00390625" style="1" customWidth="1"/>
    <col min="13" max="13" width="2.28125" style="1" customWidth="1"/>
    <col min="14" max="14" width="4.140625" style="1" hidden="1" customWidth="1" outlineLevel="1"/>
    <col min="15" max="15" width="10.57421875" style="1" hidden="1" customWidth="1" outlineLevel="1"/>
    <col min="16" max="16" width="2.28125" style="1" hidden="1" customWidth="1" outlineLevel="1"/>
    <col min="17" max="17" width="5.140625" style="1" customWidth="1" collapsed="1"/>
    <col min="18" max="18" width="15.8515625" style="1" customWidth="1"/>
    <col min="19" max="19" width="1.57421875" style="1" customWidth="1"/>
    <col min="20" max="20" width="4.57421875" style="1" hidden="1" customWidth="1" outlineLevel="1"/>
    <col min="21" max="21" width="11.421875" style="1" hidden="1" customWidth="1" outlineLevel="1"/>
    <col min="22" max="22" width="5.140625" style="2" customWidth="1" collapsed="1"/>
    <col min="23" max="23" width="15.00390625" style="2" customWidth="1"/>
    <col min="24" max="24" width="8.57421875" style="61" customWidth="1"/>
    <col min="25" max="25" width="7.00390625" style="2" customWidth="1" collapsed="1"/>
    <col min="26" max="26" width="15.00390625" style="2" customWidth="1"/>
    <col min="27" max="27" width="1.8515625" style="61" customWidth="1"/>
    <col min="28" max="28" width="15.28125" style="2" hidden="1" customWidth="1" outlineLevel="1"/>
    <col min="29" max="29" width="14.8515625" style="2" hidden="1" customWidth="1" outlineLevel="1"/>
    <col min="30" max="30" width="1.1484375" style="2" customWidth="1" collapsed="1"/>
    <col min="31" max="31" width="9.8515625" style="2" customWidth="1"/>
    <col min="32" max="32" width="14.8515625" style="2" hidden="1" customWidth="1" outlineLevel="1"/>
    <col min="33" max="33" width="2.00390625" style="2" hidden="1" customWidth="1" outlineLevel="1"/>
    <col min="34" max="34" width="20.28125" style="1" customWidth="1" collapsed="1"/>
    <col min="35" max="35" width="1.7109375" style="1" customWidth="1"/>
    <col min="36" max="36" width="19.28125" style="1" customWidth="1"/>
    <col min="37" max="37" width="2.00390625" style="1" customWidth="1"/>
    <col min="38" max="38" width="22.421875" style="1" customWidth="1"/>
    <col min="39" max="39" width="6.421875" style="1" customWidth="1"/>
    <col min="40" max="40" width="14.57421875" style="1" customWidth="1" collapsed="1"/>
    <col min="41" max="41" width="41.00390625" style="1" customWidth="1"/>
    <col min="42" max="42" width="5.00390625" style="1" customWidth="1"/>
    <col min="43" max="43" width="1.28515625" style="1" customWidth="1"/>
    <col min="44" max="44" width="4.140625" style="1" hidden="1" customWidth="1" outlineLevel="1"/>
    <col min="45" max="45" width="10.57421875" style="1" hidden="1" customWidth="1" outlineLevel="1"/>
    <col min="46" max="46" width="2.28125" style="1" hidden="1" customWidth="1" outlineLevel="1"/>
    <col min="47" max="47" width="5.140625" style="1" customWidth="1" collapsed="1"/>
    <col min="48" max="48" width="15.8515625" style="1" customWidth="1"/>
    <col min="49" max="49" width="1.57421875" style="1" customWidth="1"/>
    <col min="50" max="50" width="4.57421875" style="1" hidden="1" customWidth="1" outlineLevel="1"/>
    <col min="51" max="51" width="11.421875" style="1" hidden="1" customWidth="1" outlineLevel="1"/>
    <col min="52" max="52" width="5.140625" style="2" customWidth="1" collapsed="1"/>
    <col min="53" max="53" width="15.00390625" style="2" customWidth="1"/>
    <col min="54" max="54" width="9.7109375" style="61" customWidth="1"/>
    <col min="55" max="55" width="7.00390625" style="2" customWidth="1" collapsed="1"/>
    <col min="56" max="56" width="15.00390625" style="2" customWidth="1"/>
    <col min="57" max="57" width="1.28515625" style="61" customWidth="1"/>
    <col min="58" max="58" width="15.28125" style="2" hidden="1" customWidth="1" outlineLevel="1"/>
    <col min="59" max="59" width="14.8515625" style="2" hidden="1" customWidth="1" outlineLevel="1"/>
    <col min="60" max="60" width="1.1484375" style="2" customWidth="1" collapsed="1"/>
    <col min="61" max="61" width="11.28125" style="2" customWidth="1"/>
    <col min="62" max="62" width="14.8515625" style="2" hidden="1" customWidth="1" outlineLevel="1"/>
    <col min="63" max="63" width="2.00390625" style="2" hidden="1" customWidth="1" outlineLevel="1"/>
    <col min="64" max="64" width="20.28125" style="1" customWidth="1" collapsed="1"/>
    <col min="65" max="65" width="1.7109375" style="1" customWidth="1"/>
    <col min="66" max="66" width="19.28125" style="1" customWidth="1"/>
    <col min="67" max="67" width="2.28125" style="1" customWidth="1"/>
    <col min="68" max="68" width="21.8515625" style="1" customWidth="1"/>
    <col min="69" max="69" width="8.140625" style="1" customWidth="1"/>
    <col min="70" max="16384" width="11.421875" style="1" customWidth="1"/>
  </cols>
  <sheetData>
    <row r="1" spans="1:69" ht="26.25" customHeight="1">
      <c r="A1" s="201" t="s">
        <v>93</v>
      </c>
      <c r="B1" s="202"/>
      <c r="C1" s="202"/>
      <c r="D1" s="202"/>
      <c r="E1" s="202"/>
      <c r="F1" s="202"/>
      <c r="G1" s="202"/>
      <c r="H1" s="93"/>
      <c r="I1" s="93"/>
      <c r="AM1" s="197" t="s">
        <v>242</v>
      </c>
      <c r="BQ1" s="197" t="s">
        <v>241</v>
      </c>
    </row>
    <row r="2" spans="1:40" ht="6.75" customHeight="1">
      <c r="A2" s="202"/>
      <c r="B2" s="202"/>
      <c r="C2" s="202"/>
      <c r="D2" s="202"/>
      <c r="E2" s="202"/>
      <c r="F2" s="202"/>
      <c r="G2" s="202"/>
      <c r="H2" s="93"/>
      <c r="I2" s="93"/>
      <c r="J2" s="93"/>
      <c r="AN2" s="93"/>
    </row>
    <row r="3" spans="1:69" s="2" customFormat="1" ht="50.25" customHeight="1">
      <c r="A3" s="202"/>
      <c r="B3" s="202"/>
      <c r="C3" s="202"/>
      <c r="D3" s="202"/>
      <c r="E3" s="202"/>
      <c r="F3" s="202"/>
      <c r="G3" s="202"/>
      <c r="H3" s="93"/>
      <c r="I3" s="93"/>
      <c r="J3" s="200" t="s">
        <v>235</v>
      </c>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t="s">
        <v>236</v>
      </c>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row>
    <row r="4" spans="1:57" s="2" customFormat="1" ht="10.5" customHeight="1" thickBot="1">
      <c r="A4" s="202"/>
      <c r="B4" s="202"/>
      <c r="C4" s="202"/>
      <c r="D4" s="202"/>
      <c r="E4" s="202"/>
      <c r="F4" s="202"/>
      <c r="G4" s="202"/>
      <c r="H4" s="93"/>
      <c r="I4" s="93"/>
      <c r="J4" s="93"/>
      <c r="K4" s="1"/>
      <c r="L4" s="1"/>
      <c r="M4" s="18"/>
      <c r="N4" s="18"/>
      <c r="O4" s="18"/>
      <c r="P4" s="18"/>
      <c r="Q4" s="54"/>
      <c r="R4" s="54"/>
      <c r="S4" s="54"/>
      <c r="T4" s="54"/>
      <c r="U4" s="54"/>
      <c r="X4" s="61"/>
      <c r="AA4" s="61"/>
      <c r="AN4" s="93"/>
      <c r="AO4" s="1"/>
      <c r="AP4" s="1"/>
      <c r="AQ4" s="18"/>
      <c r="AR4" s="18"/>
      <c r="AS4" s="18"/>
      <c r="AT4" s="18"/>
      <c r="AU4" s="54"/>
      <c r="AV4" s="54"/>
      <c r="AW4" s="54"/>
      <c r="AX4" s="54"/>
      <c r="AY4" s="54"/>
      <c r="BB4" s="61"/>
      <c r="BE4" s="61"/>
    </row>
    <row r="5" spans="5:68" s="2" customFormat="1" ht="17.25" customHeight="1" thickBot="1">
      <c r="E5" s="203"/>
      <c r="F5" s="203"/>
      <c r="K5" s="18"/>
      <c r="L5" s="18"/>
      <c r="M5" s="71"/>
      <c r="O5" s="75"/>
      <c r="P5" s="75"/>
      <c r="Q5" s="219" t="s">
        <v>1</v>
      </c>
      <c r="R5" s="220"/>
      <c r="S5" s="220"/>
      <c r="T5" s="220"/>
      <c r="U5" s="220"/>
      <c r="V5" s="220"/>
      <c r="W5" s="220"/>
      <c r="X5" s="220"/>
      <c r="Y5" s="220"/>
      <c r="Z5" s="221"/>
      <c r="AA5" s="106"/>
      <c r="AG5" s="75"/>
      <c r="AH5" s="219" t="s">
        <v>2</v>
      </c>
      <c r="AI5" s="220"/>
      <c r="AJ5" s="220"/>
      <c r="AK5" s="220"/>
      <c r="AL5" s="221"/>
      <c r="AM5" s="150"/>
      <c r="AO5" s="18"/>
      <c r="AP5" s="18"/>
      <c r="AQ5" s="71"/>
      <c r="AS5" s="75"/>
      <c r="AT5" s="75"/>
      <c r="AU5" s="219" t="s">
        <v>82</v>
      </c>
      <c r="AV5" s="220"/>
      <c r="AW5" s="220"/>
      <c r="AX5" s="220"/>
      <c r="AY5" s="220"/>
      <c r="AZ5" s="220"/>
      <c r="BA5" s="220"/>
      <c r="BB5" s="220"/>
      <c r="BC5" s="220"/>
      <c r="BD5" s="221"/>
      <c r="BE5" s="106"/>
      <c r="BK5" s="75"/>
      <c r="BL5" s="219" t="s">
        <v>83</v>
      </c>
      <c r="BM5" s="220"/>
      <c r="BN5" s="220"/>
      <c r="BO5" s="220"/>
      <c r="BP5" s="221"/>
    </row>
    <row r="6" spans="5:60" ht="6.75" customHeight="1" thickBot="1">
      <c r="E6" s="232" t="s">
        <v>47</v>
      </c>
      <c r="F6" s="232"/>
      <c r="AB6" s="27" t="s">
        <v>3</v>
      </c>
      <c r="AC6" s="27" t="s">
        <v>3</v>
      </c>
      <c r="AD6" s="32"/>
      <c r="BF6" s="27" t="s">
        <v>3</v>
      </c>
      <c r="BG6" s="27" t="s">
        <v>3</v>
      </c>
      <c r="BH6" s="32"/>
    </row>
    <row r="7" spans="1:68" s="2" customFormat="1" ht="76.5" customHeight="1" thickBot="1">
      <c r="A7" s="232" t="s">
        <v>59</v>
      </c>
      <c r="B7" s="232"/>
      <c r="C7" s="86"/>
      <c r="E7" s="231"/>
      <c r="F7" s="231"/>
      <c r="K7" s="67"/>
      <c r="N7" s="231" t="s">
        <v>17</v>
      </c>
      <c r="O7" s="231"/>
      <c r="P7" s="56"/>
      <c r="Q7" s="230" t="s">
        <v>179</v>
      </c>
      <c r="R7" s="230"/>
      <c r="S7" s="56"/>
      <c r="T7" s="56"/>
      <c r="U7" s="56"/>
      <c r="V7" s="230" t="s">
        <v>106</v>
      </c>
      <c r="W7" s="230"/>
      <c r="X7" s="61"/>
      <c r="Y7" s="246" t="s">
        <v>183</v>
      </c>
      <c r="Z7" s="246"/>
      <c r="AA7" s="61"/>
      <c r="AB7" s="42" t="s">
        <v>19</v>
      </c>
      <c r="AC7" s="42" t="s">
        <v>18</v>
      </c>
      <c r="AD7" s="33"/>
      <c r="AE7" s="159" t="s">
        <v>178</v>
      </c>
      <c r="AF7" s="46" t="s">
        <v>17</v>
      </c>
      <c r="AG7" s="57"/>
      <c r="AH7" s="172" t="s">
        <v>179</v>
      </c>
      <c r="AI7" s="58"/>
      <c r="AJ7" s="172" t="s">
        <v>180</v>
      </c>
      <c r="AK7" s="173"/>
      <c r="AL7" s="174" t="s">
        <v>183</v>
      </c>
      <c r="AM7" s="174"/>
      <c r="AO7" s="67"/>
      <c r="AR7" s="231" t="s">
        <v>17</v>
      </c>
      <c r="AS7" s="231"/>
      <c r="AT7" s="56"/>
      <c r="AU7" s="230" t="s">
        <v>197</v>
      </c>
      <c r="AV7" s="230"/>
      <c r="AW7" s="56"/>
      <c r="AX7" s="56"/>
      <c r="AY7" s="56"/>
      <c r="AZ7" s="230" t="s">
        <v>198</v>
      </c>
      <c r="BA7" s="230"/>
      <c r="BB7" s="61"/>
      <c r="BC7" s="246" t="s">
        <v>200</v>
      </c>
      <c r="BD7" s="246"/>
      <c r="BE7" s="61"/>
      <c r="BF7" s="42" t="s">
        <v>19</v>
      </c>
      <c r="BG7" s="42" t="s">
        <v>18</v>
      </c>
      <c r="BH7" s="33"/>
      <c r="BI7" s="159" t="s">
        <v>193</v>
      </c>
      <c r="BJ7" s="46" t="s">
        <v>17</v>
      </c>
      <c r="BK7" s="57"/>
      <c r="BL7" s="172" t="s">
        <v>197</v>
      </c>
      <c r="BM7" s="58"/>
      <c r="BN7" s="172" t="s">
        <v>198</v>
      </c>
      <c r="BO7" s="173"/>
      <c r="BP7" s="174" t="s">
        <v>200</v>
      </c>
    </row>
    <row r="8" spans="5:68" ht="28.5" customHeight="1">
      <c r="E8" s="227">
        <f>E9+E11+E12+E13</f>
        <v>5186.7</v>
      </c>
      <c r="F8" s="228"/>
      <c r="K8" s="229" t="s">
        <v>0</v>
      </c>
      <c r="L8" s="229"/>
      <c r="M8" s="14"/>
      <c r="N8" s="227">
        <f>N10+N11+N12+N13+N9</f>
        <v>5731.2188478664</v>
      </c>
      <c r="O8" s="228"/>
      <c r="P8" s="14"/>
      <c r="Q8" s="227">
        <f>Q9+Q11+Q12+Q13+Q10</f>
        <v>6337.906820298355</v>
      </c>
      <c r="R8" s="228"/>
      <c r="V8" s="227">
        <f>V9+V11+V12+V13+V14+V15+V16+V10</f>
        <v>8996.494897221432</v>
      </c>
      <c r="W8" s="228"/>
      <c r="X8" s="47"/>
      <c r="Y8" s="227">
        <f>Y9+Y11+Y12+Y13+Y14+Y15+Y16+Y10</f>
        <v>8559.725281836816</v>
      </c>
      <c r="Z8" s="228"/>
      <c r="AA8" s="47"/>
      <c r="AB8" s="38">
        <f aca="true" t="shared" si="0" ref="AB8:AB15">V8-Q8</f>
        <v>2658.588076923076</v>
      </c>
      <c r="AC8" s="38">
        <f aca="true" t="shared" si="1" ref="AC8:AC17">V8-N8</f>
        <v>3265.2760493550313</v>
      </c>
      <c r="AD8" s="34"/>
      <c r="AE8" s="21">
        <v>13</v>
      </c>
      <c r="AF8" s="26">
        <f aca="true" t="shared" si="2" ref="AF8:AF13">N8*13</f>
        <v>74505.84502226321</v>
      </c>
      <c r="AG8" s="57"/>
      <c r="AH8" s="26">
        <f aca="true" t="shared" si="3" ref="AH8:AH13">Q8*13</f>
        <v>82392.78866387861</v>
      </c>
      <c r="AI8" s="15"/>
      <c r="AJ8" s="25">
        <f>(V9+V11+V12+V13+V14+V15+V16+V10)*13</f>
        <v>116954.4336638786</v>
      </c>
      <c r="AK8" s="19"/>
      <c r="AL8" s="25">
        <f>(Y8)*13</f>
        <v>111276.42866387861</v>
      </c>
      <c r="AM8" s="10"/>
      <c r="AO8" s="229" t="s">
        <v>23</v>
      </c>
      <c r="AP8" s="229"/>
      <c r="AQ8" s="14"/>
      <c r="AR8" s="227">
        <f>AR10+AR11+AR12+AR13+AR9</f>
        <v>4592.37724504</v>
      </c>
      <c r="AS8" s="228"/>
      <c r="AT8" s="14"/>
      <c r="AU8" s="227">
        <f>AU9+AU11+AU12+AU13+AU10</f>
        <v>6337.906820298355</v>
      </c>
      <c r="AV8" s="228"/>
      <c r="AZ8" s="227">
        <f>AZ9+AZ11+AZ12+AZ13+AZ14+AZ15+AZ16+AZ10</f>
        <v>8996.494897221432</v>
      </c>
      <c r="BA8" s="228"/>
      <c r="BB8" s="47"/>
      <c r="BC8" s="227">
        <f>BC9+BC11+BC12+BC13+BC14+BC15+BC16+BC10</f>
        <v>8559.725281836816</v>
      </c>
      <c r="BD8" s="228"/>
      <c r="BE8" s="47"/>
      <c r="BF8" s="38">
        <f aca="true" t="shared" si="4" ref="BF8:BF15">AZ8-AU8</f>
        <v>2658.588076923076</v>
      </c>
      <c r="BG8" s="38">
        <f>AZ8-AR8</f>
        <v>4404.117652181431</v>
      </c>
      <c r="BH8" s="34"/>
      <c r="BI8" s="21">
        <v>13</v>
      </c>
      <c r="BJ8" s="26">
        <f aca="true" t="shared" si="5" ref="BJ8:BJ13">AR8*13</f>
        <v>59700.904185520005</v>
      </c>
      <c r="BK8" s="57"/>
      <c r="BL8" s="26">
        <f aca="true" t="shared" si="6" ref="BL8:BL13">AU8*13</f>
        <v>82392.78866387861</v>
      </c>
      <c r="BM8" s="15"/>
      <c r="BN8" s="25">
        <f>(AZ9+AZ11+AZ12+AZ13+AZ14+AZ15+AZ16+AZ10)*13</f>
        <v>116954.4336638786</v>
      </c>
      <c r="BO8" s="19"/>
      <c r="BP8" s="25">
        <f>(BC8)*13</f>
        <v>111276.42866387861</v>
      </c>
    </row>
    <row r="9" spans="1:68" ht="15" customHeight="1">
      <c r="A9" s="80" t="s">
        <v>74</v>
      </c>
      <c r="B9" s="84">
        <v>2230.7</v>
      </c>
      <c r="D9" s="89" t="s">
        <v>73</v>
      </c>
      <c r="E9" s="224">
        <v>2676.72</v>
      </c>
      <c r="F9" s="225"/>
      <c r="K9" s="222" t="s">
        <v>61</v>
      </c>
      <c r="L9" s="223"/>
      <c r="M9" s="16"/>
      <c r="N9" s="224">
        <v>2061.06</v>
      </c>
      <c r="O9" s="225"/>
      <c r="P9" s="16"/>
      <c r="Q9" s="224">
        <v>2279.24</v>
      </c>
      <c r="R9" s="225"/>
      <c r="U9" s="1">
        <f>Q9*40/38</f>
        <v>2399.2</v>
      </c>
      <c r="V9" s="224">
        <v>2399.2</v>
      </c>
      <c r="W9" s="225"/>
      <c r="X9" s="101" t="s">
        <v>14</v>
      </c>
      <c r="Y9" s="224">
        <f>V9</f>
        <v>2399.2</v>
      </c>
      <c r="Z9" s="225"/>
      <c r="AA9" s="101"/>
      <c r="AB9" s="39">
        <f t="shared" si="0"/>
        <v>119.96000000000004</v>
      </c>
      <c r="AC9" s="39">
        <f>V9-N10</f>
        <v>1411.6799999999998</v>
      </c>
      <c r="AD9" s="35"/>
      <c r="AE9" s="20"/>
      <c r="AF9" s="12">
        <f t="shared" si="2"/>
        <v>26793.78</v>
      </c>
      <c r="AG9" s="20"/>
      <c r="AH9" s="12">
        <f t="shared" si="3"/>
        <v>29630.119999999995</v>
      </c>
      <c r="AI9" s="2"/>
      <c r="AJ9" s="12">
        <f aca="true" t="shared" si="7" ref="AJ9:AJ17">V9*13</f>
        <v>31189.6</v>
      </c>
      <c r="AK9" s="60"/>
      <c r="AL9" s="12">
        <f>Y9*13</f>
        <v>31189.6</v>
      </c>
      <c r="AM9" s="2"/>
      <c r="AO9" s="222" t="s">
        <v>80</v>
      </c>
      <c r="AP9" s="223"/>
      <c r="AQ9" s="16"/>
      <c r="AR9" s="224">
        <v>2061.06</v>
      </c>
      <c r="AS9" s="225"/>
      <c r="AT9" s="16"/>
      <c r="AU9" s="224">
        <f>Q9</f>
        <v>2279.24</v>
      </c>
      <c r="AV9" s="225"/>
      <c r="AY9" s="1">
        <f>AU9*40/38</f>
        <v>2399.2</v>
      </c>
      <c r="AZ9" s="224">
        <v>2399.2</v>
      </c>
      <c r="BA9" s="225"/>
      <c r="BB9" s="101" t="s">
        <v>14</v>
      </c>
      <c r="BC9" s="224">
        <f aca="true" t="shared" si="8" ref="BC9:BC15">AZ9</f>
        <v>2399.2</v>
      </c>
      <c r="BD9" s="225"/>
      <c r="BE9" s="101"/>
      <c r="BF9" s="39">
        <f t="shared" si="4"/>
        <v>119.96000000000004</v>
      </c>
      <c r="BG9" s="39">
        <f>AZ9-AR10</f>
        <v>1411.6799999999998</v>
      </c>
      <c r="BH9" s="35"/>
      <c r="BI9" s="20"/>
      <c r="BJ9" s="12">
        <f t="shared" si="5"/>
        <v>26793.78</v>
      </c>
      <c r="BK9" s="20"/>
      <c r="BL9" s="12">
        <f>AU9*13</f>
        <v>29630.119999999995</v>
      </c>
      <c r="BM9" s="2"/>
      <c r="BN9" s="12">
        <f aca="true" t="shared" si="9" ref="BN9:BN17">AZ9*13</f>
        <v>31189.6</v>
      </c>
      <c r="BO9" s="60"/>
      <c r="BP9" s="12">
        <f>BC9*13</f>
        <v>31189.6</v>
      </c>
    </row>
    <row r="10" spans="1:68" ht="15" customHeight="1">
      <c r="A10" s="80"/>
      <c r="B10" s="84"/>
      <c r="D10" s="89"/>
      <c r="E10" s="91"/>
      <c r="F10" s="92"/>
      <c r="K10" s="222" t="s">
        <v>100</v>
      </c>
      <c r="L10" s="223"/>
      <c r="M10" s="16"/>
      <c r="N10" s="224">
        <f>3048.58-2061.06</f>
        <v>987.52</v>
      </c>
      <c r="O10" s="225"/>
      <c r="P10" s="16"/>
      <c r="Q10" s="224">
        <v>1092.05</v>
      </c>
      <c r="R10" s="225"/>
      <c r="U10" s="1">
        <f>Q10*40/38</f>
        <v>1149.5263157894738</v>
      </c>
      <c r="V10" s="224">
        <v>1149.52</v>
      </c>
      <c r="W10" s="225"/>
      <c r="X10" s="101" t="s">
        <v>14</v>
      </c>
      <c r="Y10" s="224">
        <f aca="true" t="shared" si="10" ref="Y10:Y15">V10</f>
        <v>1149.52</v>
      </c>
      <c r="Z10" s="225"/>
      <c r="AA10" s="101"/>
      <c r="AB10" s="39">
        <f t="shared" si="0"/>
        <v>57.47000000000003</v>
      </c>
      <c r="AC10" s="39">
        <f>V10-N11</f>
        <v>382.56999999999994</v>
      </c>
      <c r="AD10" s="35"/>
      <c r="AE10" s="20"/>
      <c r="AF10" s="12">
        <f t="shared" si="2"/>
        <v>12837.76</v>
      </c>
      <c r="AG10" s="20"/>
      <c r="AH10" s="12">
        <f t="shared" si="3"/>
        <v>14196.65</v>
      </c>
      <c r="AI10" s="2"/>
      <c r="AJ10" s="12">
        <f t="shared" si="7"/>
        <v>14943.76</v>
      </c>
      <c r="AK10" s="60"/>
      <c r="AL10" s="12">
        <f aca="true" t="shared" si="11" ref="AL10:AL16">Y10*13</f>
        <v>14943.76</v>
      </c>
      <c r="AM10" s="2"/>
      <c r="AO10" s="222" t="s">
        <v>101</v>
      </c>
      <c r="AP10" s="223"/>
      <c r="AQ10" s="16"/>
      <c r="AR10" s="224">
        <f>3048.58-2061.06</f>
        <v>987.52</v>
      </c>
      <c r="AS10" s="225"/>
      <c r="AT10" s="16"/>
      <c r="AU10" s="224">
        <f>Q10</f>
        <v>1092.05</v>
      </c>
      <c r="AV10" s="225"/>
      <c r="AY10" s="1">
        <f>AU10*40/38</f>
        <v>1149.5263157894738</v>
      </c>
      <c r="AZ10" s="224">
        <v>1149.52</v>
      </c>
      <c r="BA10" s="225"/>
      <c r="BB10" s="101" t="s">
        <v>14</v>
      </c>
      <c r="BC10" s="224">
        <f t="shared" si="8"/>
        <v>1149.52</v>
      </c>
      <c r="BD10" s="225"/>
      <c r="BE10" s="101"/>
      <c r="BF10" s="39">
        <f t="shared" si="4"/>
        <v>57.47000000000003</v>
      </c>
      <c r="BG10" s="39">
        <f>AZ10-AR11</f>
        <v>382.56999999999994</v>
      </c>
      <c r="BH10" s="35"/>
      <c r="BI10" s="20"/>
      <c r="BJ10" s="12">
        <f t="shared" si="5"/>
        <v>12837.76</v>
      </c>
      <c r="BK10" s="20"/>
      <c r="BL10" s="12">
        <f>AU10*13</f>
        <v>14196.65</v>
      </c>
      <c r="BM10" s="2"/>
      <c r="BN10" s="12">
        <f t="shared" si="9"/>
        <v>14943.76</v>
      </c>
      <c r="BO10" s="60"/>
      <c r="BP10" s="12">
        <f aca="true" t="shared" si="12" ref="BP10:BP16">BC10*13</f>
        <v>14943.76</v>
      </c>
    </row>
    <row r="11" spans="1:68" ht="15" customHeight="1">
      <c r="A11" s="83" t="s">
        <v>52</v>
      </c>
      <c r="B11" s="87">
        <v>578.33</v>
      </c>
      <c r="E11" s="224">
        <v>730.58</v>
      </c>
      <c r="F11" s="225"/>
      <c r="K11" s="222" t="s">
        <v>97</v>
      </c>
      <c r="L11" s="223"/>
      <c r="M11" s="16"/>
      <c r="N11" s="224">
        <v>766.95</v>
      </c>
      <c r="O11" s="225"/>
      <c r="P11" s="16"/>
      <c r="Q11" s="224">
        <v>848.14</v>
      </c>
      <c r="R11" s="225"/>
      <c r="V11" s="224">
        <f>Q11</f>
        <v>848.14</v>
      </c>
      <c r="W11" s="225"/>
      <c r="X11" s="49"/>
      <c r="Y11" s="224">
        <f t="shared" si="10"/>
        <v>848.14</v>
      </c>
      <c r="Z11" s="225"/>
      <c r="AA11" s="49"/>
      <c r="AB11" s="39">
        <f t="shared" si="0"/>
        <v>0</v>
      </c>
      <c r="AC11" s="39">
        <f t="shared" si="1"/>
        <v>81.18999999999994</v>
      </c>
      <c r="AD11" s="35"/>
      <c r="AE11" s="20"/>
      <c r="AF11" s="12">
        <f t="shared" si="2"/>
        <v>9970.35</v>
      </c>
      <c r="AG11" s="20"/>
      <c r="AH11" s="12">
        <f t="shared" si="3"/>
        <v>11025.82</v>
      </c>
      <c r="AI11" s="2"/>
      <c r="AJ11" s="12">
        <f t="shared" si="7"/>
        <v>11025.82</v>
      </c>
      <c r="AK11" s="60"/>
      <c r="AL11" s="12">
        <f t="shared" si="11"/>
        <v>11025.82</v>
      </c>
      <c r="AM11" s="2"/>
      <c r="AO11" s="222" t="s">
        <v>24</v>
      </c>
      <c r="AP11" s="223"/>
      <c r="AQ11" s="16"/>
      <c r="AR11" s="224">
        <v>766.95</v>
      </c>
      <c r="AS11" s="225"/>
      <c r="AT11" s="16"/>
      <c r="AU11" s="224">
        <f>Q11</f>
        <v>848.14</v>
      </c>
      <c r="AV11" s="225"/>
      <c r="AZ11" s="224">
        <f>AU11</f>
        <v>848.14</v>
      </c>
      <c r="BA11" s="225"/>
      <c r="BB11" s="49"/>
      <c r="BC11" s="224">
        <f t="shared" si="8"/>
        <v>848.14</v>
      </c>
      <c r="BD11" s="225"/>
      <c r="BE11" s="49"/>
      <c r="BF11" s="39">
        <f t="shared" si="4"/>
        <v>0</v>
      </c>
      <c r="BG11" s="39">
        <f>AZ11-AR11</f>
        <v>81.18999999999994</v>
      </c>
      <c r="BH11" s="35"/>
      <c r="BI11" s="20"/>
      <c r="BJ11" s="12">
        <f t="shared" si="5"/>
        <v>9970.35</v>
      </c>
      <c r="BK11" s="20"/>
      <c r="BL11" s="12">
        <f t="shared" si="6"/>
        <v>11025.82</v>
      </c>
      <c r="BM11" s="2"/>
      <c r="BN11" s="12">
        <f t="shared" si="9"/>
        <v>11025.82</v>
      </c>
      <c r="BO11" s="60"/>
      <c r="BP11" s="12">
        <f t="shared" si="12"/>
        <v>11025.82</v>
      </c>
    </row>
    <row r="12" spans="1:68" ht="15" customHeight="1">
      <c r="A12" s="83" t="s">
        <v>48</v>
      </c>
      <c r="B12" s="87">
        <v>72.25</v>
      </c>
      <c r="E12" s="224">
        <v>681.57</v>
      </c>
      <c r="F12" s="225"/>
      <c r="K12" s="222" t="s">
        <v>98</v>
      </c>
      <c r="L12" s="223"/>
      <c r="M12" s="16"/>
      <c r="N12" s="224">
        <v>763.2</v>
      </c>
      <c r="O12" s="225"/>
      <c r="P12" s="16"/>
      <c r="Q12" s="224">
        <f>10127.87/12</f>
        <v>843.9891666666667</v>
      </c>
      <c r="R12" s="225"/>
      <c r="V12" s="224">
        <f>Q12</f>
        <v>843.9891666666667</v>
      </c>
      <c r="W12" s="225"/>
      <c r="X12" s="156"/>
      <c r="Y12" s="224">
        <f t="shared" si="10"/>
        <v>843.9891666666667</v>
      </c>
      <c r="Z12" s="225"/>
      <c r="AA12" s="156"/>
      <c r="AB12" s="39">
        <f t="shared" si="0"/>
        <v>0</v>
      </c>
      <c r="AC12" s="39">
        <f t="shared" si="1"/>
        <v>80.78916666666669</v>
      </c>
      <c r="AD12" s="35"/>
      <c r="AE12" s="20"/>
      <c r="AF12" s="12">
        <f t="shared" si="2"/>
        <v>9921.6</v>
      </c>
      <c r="AG12" s="20"/>
      <c r="AH12" s="12">
        <f t="shared" si="3"/>
        <v>10971.859166666667</v>
      </c>
      <c r="AI12" s="2"/>
      <c r="AJ12" s="12">
        <f t="shared" si="7"/>
        <v>10971.859166666667</v>
      </c>
      <c r="AK12" s="60"/>
      <c r="AL12" s="12">
        <f t="shared" si="11"/>
        <v>10971.859166666667</v>
      </c>
      <c r="AM12" s="2"/>
      <c r="AO12" s="222" t="s">
        <v>25</v>
      </c>
      <c r="AP12" s="223"/>
      <c r="AQ12" s="16"/>
      <c r="AR12" s="224">
        <v>763.2</v>
      </c>
      <c r="AS12" s="225"/>
      <c r="AT12" s="16"/>
      <c r="AU12" s="224">
        <f>Q12</f>
        <v>843.9891666666667</v>
      </c>
      <c r="AV12" s="225"/>
      <c r="AZ12" s="224">
        <f>AU12</f>
        <v>843.9891666666667</v>
      </c>
      <c r="BA12" s="225"/>
      <c r="BB12" s="156"/>
      <c r="BC12" s="224">
        <f t="shared" si="8"/>
        <v>843.9891666666667</v>
      </c>
      <c r="BD12" s="225"/>
      <c r="BE12" s="156"/>
      <c r="BF12" s="39">
        <f t="shared" si="4"/>
        <v>0</v>
      </c>
      <c r="BG12" s="39">
        <f>AZ12-AR12</f>
        <v>80.78916666666669</v>
      </c>
      <c r="BH12" s="35"/>
      <c r="BI12" s="20"/>
      <c r="BJ12" s="12">
        <f t="shared" si="5"/>
        <v>9921.6</v>
      </c>
      <c r="BK12" s="20"/>
      <c r="BL12" s="12">
        <f t="shared" si="6"/>
        <v>10971.859166666667</v>
      </c>
      <c r="BM12" s="2"/>
      <c r="BN12" s="12">
        <f t="shared" si="9"/>
        <v>10971.859166666667</v>
      </c>
      <c r="BO12" s="60"/>
      <c r="BP12" s="12">
        <f t="shared" si="12"/>
        <v>10971.859166666667</v>
      </c>
    </row>
    <row r="13" spans="1:68" ht="15" customHeight="1">
      <c r="A13" s="83" t="s">
        <v>49</v>
      </c>
      <c r="B13" s="87">
        <v>658.19</v>
      </c>
      <c r="E13" s="224">
        <f>B17</f>
        <v>1097.83</v>
      </c>
      <c r="F13" s="225"/>
      <c r="K13" s="222" t="s">
        <v>21</v>
      </c>
      <c r="L13" s="223"/>
      <c r="M13" s="16"/>
      <c r="N13" s="224">
        <f>B17*101.2%*102%*101.7%</f>
        <v>1152.4888478664002</v>
      </c>
      <c r="O13" s="225"/>
      <c r="P13" s="16"/>
      <c r="Q13" s="224">
        <f>N13*102.1%*102%*102.3%*103.8%</f>
        <v>1274.487653631689</v>
      </c>
      <c r="R13" s="225"/>
      <c r="V13" s="224">
        <f>Q13</f>
        <v>1274.487653631689</v>
      </c>
      <c r="W13" s="225"/>
      <c r="X13" s="49"/>
      <c r="Y13" s="224">
        <f t="shared" si="10"/>
        <v>1274.487653631689</v>
      </c>
      <c r="Z13" s="225"/>
      <c r="AA13" s="49"/>
      <c r="AB13" s="39">
        <f t="shared" si="0"/>
        <v>0</v>
      </c>
      <c r="AC13" s="39">
        <f t="shared" si="1"/>
        <v>121.99880576528881</v>
      </c>
      <c r="AD13" s="35"/>
      <c r="AE13" s="20"/>
      <c r="AF13" s="12">
        <f t="shared" si="2"/>
        <v>14982.355022263202</v>
      </c>
      <c r="AG13" s="20"/>
      <c r="AH13" s="12">
        <f t="shared" si="3"/>
        <v>16568.339497211957</v>
      </c>
      <c r="AI13" s="2"/>
      <c r="AJ13" s="12">
        <f t="shared" si="7"/>
        <v>16568.339497211957</v>
      </c>
      <c r="AK13" s="60"/>
      <c r="AL13" s="12">
        <f t="shared" si="11"/>
        <v>16568.339497211957</v>
      </c>
      <c r="AM13" s="2"/>
      <c r="AO13" s="222" t="s">
        <v>26</v>
      </c>
      <c r="AP13" s="223"/>
      <c r="AQ13" s="16"/>
      <c r="AR13" s="224">
        <f>AE17*101.2%*102%*101.7%</f>
        <v>13.647245040000003</v>
      </c>
      <c r="AS13" s="225"/>
      <c r="AT13" s="16"/>
      <c r="AU13" s="224">
        <f>Q13</f>
        <v>1274.487653631689</v>
      </c>
      <c r="AV13" s="225"/>
      <c r="AZ13" s="224">
        <f>AU13</f>
        <v>1274.487653631689</v>
      </c>
      <c r="BA13" s="225"/>
      <c r="BB13" s="49"/>
      <c r="BC13" s="224">
        <f t="shared" si="8"/>
        <v>1274.487653631689</v>
      </c>
      <c r="BD13" s="225"/>
      <c r="BE13" s="49"/>
      <c r="BF13" s="39">
        <f t="shared" si="4"/>
        <v>0</v>
      </c>
      <c r="BG13" s="39">
        <f>AZ13-AR13</f>
        <v>1260.840408591689</v>
      </c>
      <c r="BH13" s="35"/>
      <c r="BI13" s="20"/>
      <c r="BJ13" s="12">
        <f t="shared" si="5"/>
        <v>177.41418552000005</v>
      </c>
      <c r="BK13" s="20"/>
      <c r="BL13" s="12">
        <f t="shared" si="6"/>
        <v>16568.339497211957</v>
      </c>
      <c r="BM13" s="2"/>
      <c r="BN13" s="12">
        <f t="shared" si="9"/>
        <v>16568.339497211957</v>
      </c>
      <c r="BO13" s="60"/>
      <c r="BP13" s="12">
        <f t="shared" si="12"/>
        <v>16568.339497211957</v>
      </c>
    </row>
    <row r="14" spans="1:68" ht="15" customHeight="1">
      <c r="A14" s="80" t="s">
        <v>56</v>
      </c>
      <c r="B14" s="84">
        <f>B12+B13</f>
        <v>730.44</v>
      </c>
      <c r="E14" s="214"/>
      <c r="F14" s="215"/>
      <c r="J14" s="88" t="s">
        <v>112</v>
      </c>
      <c r="K14" s="222" t="s">
        <v>85</v>
      </c>
      <c r="L14" s="223"/>
      <c r="M14" s="16"/>
      <c r="N14" s="214"/>
      <c r="O14" s="215"/>
      <c r="P14" s="16"/>
      <c r="Q14" s="214"/>
      <c r="R14" s="215"/>
      <c r="V14" s="204">
        <f>(136*2*4.345)/13*12</f>
        <v>1090.9292307692306</v>
      </c>
      <c r="W14" s="204"/>
      <c r="X14" s="73"/>
      <c r="Y14" s="224">
        <f t="shared" si="10"/>
        <v>1090.9292307692306</v>
      </c>
      <c r="Z14" s="225"/>
      <c r="AA14" s="73"/>
      <c r="AB14" s="39">
        <f t="shared" si="0"/>
        <v>1090.9292307692306</v>
      </c>
      <c r="AC14" s="39">
        <f t="shared" si="1"/>
        <v>1090.9292307692306</v>
      </c>
      <c r="AD14" s="35"/>
      <c r="AE14" s="20"/>
      <c r="AF14" s="12"/>
      <c r="AG14" s="20"/>
      <c r="AH14" s="31"/>
      <c r="AI14" s="2"/>
      <c r="AJ14" s="12">
        <f t="shared" si="7"/>
        <v>14182.079999999998</v>
      </c>
      <c r="AK14" s="60"/>
      <c r="AL14" s="12">
        <f t="shared" si="11"/>
        <v>14182.079999999998</v>
      </c>
      <c r="AM14" s="2"/>
      <c r="AN14" s="88" t="s">
        <v>119</v>
      </c>
      <c r="AO14" s="222" t="s">
        <v>27</v>
      </c>
      <c r="AP14" s="223"/>
      <c r="AQ14" s="16"/>
      <c r="AR14" s="214"/>
      <c r="AS14" s="215"/>
      <c r="AT14" s="16"/>
      <c r="AU14" s="214"/>
      <c r="AV14" s="215"/>
      <c r="AZ14" s="204">
        <f>(136*2*4.345)/13*12</f>
        <v>1090.9292307692306</v>
      </c>
      <c r="BA14" s="204"/>
      <c r="BB14" s="73"/>
      <c r="BC14" s="224">
        <f t="shared" si="8"/>
        <v>1090.9292307692306</v>
      </c>
      <c r="BD14" s="225"/>
      <c r="BE14" s="73"/>
      <c r="BF14" s="39">
        <f t="shared" si="4"/>
        <v>1090.9292307692306</v>
      </c>
      <c r="BG14" s="39">
        <f>AZ14-AR14</f>
        <v>1090.9292307692306</v>
      </c>
      <c r="BH14" s="35"/>
      <c r="BI14" s="20"/>
      <c r="BJ14" s="12"/>
      <c r="BK14" s="20"/>
      <c r="BL14" s="31"/>
      <c r="BM14" s="2"/>
      <c r="BN14" s="12">
        <f t="shared" si="9"/>
        <v>14182.079999999998</v>
      </c>
      <c r="BO14" s="60"/>
      <c r="BP14" s="12">
        <f t="shared" si="12"/>
        <v>14182.079999999998</v>
      </c>
    </row>
    <row r="15" spans="1:68" ht="15" customHeight="1">
      <c r="A15" s="80" t="s">
        <v>53</v>
      </c>
      <c r="B15" s="84">
        <v>69.17</v>
      </c>
      <c r="E15" s="214"/>
      <c r="F15" s="215"/>
      <c r="J15" s="88" t="s">
        <v>116</v>
      </c>
      <c r="K15" s="222" t="s">
        <v>41</v>
      </c>
      <c r="L15" s="223"/>
      <c r="M15" s="16"/>
      <c r="N15" s="214"/>
      <c r="O15" s="215"/>
      <c r="P15" s="16"/>
      <c r="Q15" s="214"/>
      <c r="R15" s="215"/>
      <c r="V15" s="224">
        <f>12394.97/13</f>
        <v>953.4592307692308</v>
      </c>
      <c r="W15" s="225"/>
      <c r="X15" s="73"/>
      <c r="Y15" s="224">
        <f t="shared" si="10"/>
        <v>953.4592307692308</v>
      </c>
      <c r="Z15" s="225"/>
      <c r="AA15" s="73"/>
      <c r="AB15" s="39">
        <f t="shared" si="0"/>
        <v>953.4592307692308</v>
      </c>
      <c r="AC15" s="39">
        <f t="shared" si="1"/>
        <v>953.4592307692308</v>
      </c>
      <c r="AD15" s="35"/>
      <c r="AE15" s="20"/>
      <c r="AF15" s="12"/>
      <c r="AG15" s="20"/>
      <c r="AH15" s="31"/>
      <c r="AI15" s="2"/>
      <c r="AJ15" s="12">
        <f t="shared" si="7"/>
        <v>12394.97</v>
      </c>
      <c r="AK15" s="60"/>
      <c r="AL15" s="12">
        <f t="shared" si="11"/>
        <v>12394.97</v>
      </c>
      <c r="AM15" s="2"/>
      <c r="AN15" s="88" t="s">
        <v>117</v>
      </c>
      <c r="AO15" s="222" t="s">
        <v>44</v>
      </c>
      <c r="AP15" s="223"/>
      <c r="AQ15" s="16"/>
      <c r="AR15" s="214"/>
      <c r="AS15" s="215"/>
      <c r="AT15" s="16"/>
      <c r="AU15" s="214"/>
      <c r="AV15" s="215"/>
      <c r="AZ15" s="224">
        <f>12394.97/13</f>
        <v>953.4592307692308</v>
      </c>
      <c r="BA15" s="225"/>
      <c r="BB15" s="73"/>
      <c r="BC15" s="224">
        <f t="shared" si="8"/>
        <v>953.4592307692308</v>
      </c>
      <c r="BD15" s="225"/>
      <c r="BE15" s="73"/>
      <c r="BF15" s="39">
        <f t="shared" si="4"/>
        <v>953.4592307692308</v>
      </c>
      <c r="BG15" s="39">
        <f>AZ15-AR15</f>
        <v>953.4592307692308</v>
      </c>
      <c r="BH15" s="35"/>
      <c r="BI15" s="20"/>
      <c r="BJ15" s="12"/>
      <c r="BK15" s="20"/>
      <c r="BL15" s="31"/>
      <c r="BM15" s="2"/>
      <c r="BN15" s="12">
        <f t="shared" si="9"/>
        <v>12394.97</v>
      </c>
      <c r="BO15" s="60"/>
      <c r="BP15" s="12">
        <f t="shared" si="12"/>
        <v>12394.97</v>
      </c>
    </row>
    <row r="16" spans="1:68" ht="15" customHeight="1" thickBot="1">
      <c r="A16" s="80" t="s">
        <v>54</v>
      </c>
      <c r="B16" s="84">
        <v>142.57</v>
      </c>
      <c r="E16" s="214"/>
      <c r="F16" s="215"/>
      <c r="J16" s="88" t="s">
        <v>185</v>
      </c>
      <c r="K16" s="222" t="s">
        <v>109</v>
      </c>
      <c r="L16" s="223"/>
      <c r="M16" s="16"/>
      <c r="N16" s="214"/>
      <c r="O16" s="215"/>
      <c r="P16" s="16"/>
      <c r="Q16" s="214"/>
      <c r="R16" s="215"/>
      <c r="T16" s="41" t="s">
        <v>20</v>
      </c>
      <c r="U16" s="1">
        <f>((Q24+Q28+Q30)-((AB15/2)+AB9+AB10+AB11+AB12+AB13+AB14))-((((AB15/2)+AB9+AB10+AB11+AB12+AB14)/13)+(((Q24+Q28+Q30)-((AB15/2)+AB9+AB10+AB11+AB12+AB14))/13))</f>
        <v>436.76961538461524</v>
      </c>
      <c r="V16" s="224">
        <f>IF(U16&gt;0,U16,0)</f>
        <v>436.76961538461524</v>
      </c>
      <c r="W16" s="225"/>
      <c r="X16" s="162" t="s">
        <v>186</v>
      </c>
      <c r="Y16" s="224">
        <v>0</v>
      </c>
      <c r="Z16" s="225"/>
      <c r="AA16" s="73"/>
      <c r="AB16" s="39">
        <f>V16</f>
        <v>436.76961538461524</v>
      </c>
      <c r="AC16" s="20"/>
      <c r="AD16" s="35"/>
      <c r="AE16" s="20"/>
      <c r="AF16" s="12"/>
      <c r="AG16" s="20"/>
      <c r="AH16" s="31"/>
      <c r="AI16" s="2"/>
      <c r="AJ16" s="12">
        <f>V16*13</f>
        <v>5678.004999999998</v>
      </c>
      <c r="AK16" s="60"/>
      <c r="AL16" s="12">
        <f t="shared" si="11"/>
        <v>0</v>
      </c>
      <c r="AM16" s="2"/>
      <c r="AN16" s="88" t="s">
        <v>196</v>
      </c>
      <c r="AO16" s="222" t="s">
        <v>84</v>
      </c>
      <c r="AP16" s="223"/>
      <c r="AQ16" s="16"/>
      <c r="AR16" s="214"/>
      <c r="AS16" s="215"/>
      <c r="AT16" s="16"/>
      <c r="AU16" s="214"/>
      <c r="AV16" s="215"/>
      <c r="AX16" s="41" t="s">
        <v>20</v>
      </c>
      <c r="AY16" s="1">
        <f>((AU24+AU28+AU30)-((BF15/2)+BF9+BF10+BF11+BF12+BF13+BF14))-((((BF15/2)+BF9+BF10+BF11+BF12+BF14)/13)+(((AU24+AU28+AU30)-((BF15/2)+BF9+BF10+BF11+BF12+BF14))/13))</f>
        <v>436.76961538461524</v>
      </c>
      <c r="AZ16" s="224">
        <f>IF(AY16&gt;0,AY16,0)</f>
        <v>436.76961538461524</v>
      </c>
      <c r="BA16" s="225"/>
      <c r="BB16" s="162" t="s">
        <v>184</v>
      </c>
      <c r="BC16" s="224">
        <v>0</v>
      </c>
      <c r="BD16" s="225"/>
      <c r="BE16" s="73"/>
      <c r="BF16" s="39">
        <f>AZ16</f>
        <v>436.76961538461524</v>
      </c>
      <c r="BG16" s="20"/>
      <c r="BH16" s="35"/>
      <c r="BI16" s="20"/>
      <c r="BJ16" s="12"/>
      <c r="BK16" s="20"/>
      <c r="BL16" s="31"/>
      <c r="BM16" s="2"/>
      <c r="BN16" s="12">
        <f t="shared" si="9"/>
        <v>5678.004999999998</v>
      </c>
      <c r="BO16" s="60"/>
      <c r="BP16" s="12">
        <f t="shared" si="12"/>
        <v>0</v>
      </c>
    </row>
    <row r="17" spans="1:68" ht="28.5" customHeight="1" thickBot="1">
      <c r="A17" s="80" t="s">
        <v>55</v>
      </c>
      <c r="B17" s="84">
        <v>1097.83</v>
      </c>
      <c r="E17" s="227">
        <f>F18</f>
        <v>0</v>
      </c>
      <c r="F17" s="228"/>
      <c r="K17" s="209" t="s">
        <v>4</v>
      </c>
      <c r="L17" s="210"/>
      <c r="M17" s="14"/>
      <c r="N17" s="227">
        <f>O18</f>
        <v>0</v>
      </c>
      <c r="O17" s="228"/>
      <c r="P17" s="14"/>
      <c r="Q17" s="227">
        <f>R18</f>
        <v>0</v>
      </c>
      <c r="R17" s="228"/>
      <c r="T17" s="3"/>
      <c r="U17" s="6"/>
      <c r="V17" s="227">
        <f>W18</f>
        <v>0</v>
      </c>
      <c r="W17" s="228"/>
      <c r="X17" s="50"/>
      <c r="Y17" s="227">
        <f>Z18</f>
        <v>1259.58</v>
      </c>
      <c r="Z17" s="228"/>
      <c r="AA17" s="50"/>
      <c r="AB17" s="28">
        <f>V17-Q17</f>
        <v>0</v>
      </c>
      <c r="AC17" s="28">
        <f t="shared" si="1"/>
        <v>0</v>
      </c>
      <c r="AD17" s="34"/>
      <c r="AE17" s="21">
        <v>13</v>
      </c>
      <c r="AF17" s="26">
        <f>N17*13</f>
        <v>0</v>
      </c>
      <c r="AG17" s="21"/>
      <c r="AH17" s="26">
        <f>Q17*13</f>
        <v>0</v>
      </c>
      <c r="AI17" s="15"/>
      <c r="AJ17" s="26">
        <f t="shared" si="7"/>
        <v>0</v>
      </c>
      <c r="AK17" s="19"/>
      <c r="AL17" s="26">
        <f>Y17*13</f>
        <v>16374.539999999999</v>
      </c>
      <c r="AM17" s="15"/>
      <c r="AO17" s="209" t="s">
        <v>29</v>
      </c>
      <c r="AP17" s="210"/>
      <c r="AQ17" s="14"/>
      <c r="AR17" s="227">
        <f>AS18</f>
        <v>0</v>
      </c>
      <c r="AS17" s="228"/>
      <c r="AT17" s="14"/>
      <c r="AU17" s="227">
        <f>AV18</f>
        <v>0</v>
      </c>
      <c r="AV17" s="228"/>
      <c r="AX17" s="3"/>
      <c r="AY17" s="6"/>
      <c r="AZ17" s="227">
        <f>BA18</f>
        <v>0</v>
      </c>
      <c r="BA17" s="228"/>
      <c r="BB17" s="50"/>
      <c r="BC17" s="227">
        <f>BD18</f>
        <v>1259.58</v>
      </c>
      <c r="BD17" s="228"/>
      <c r="BE17" s="50"/>
      <c r="BF17" s="28">
        <f>AZ17-AU17</f>
        <v>0</v>
      </c>
      <c r="BG17" s="28">
        <f>AZ17-AR17</f>
        <v>0</v>
      </c>
      <c r="BH17" s="34"/>
      <c r="BI17" s="21">
        <v>13</v>
      </c>
      <c r="BJ17" s="26">
        <f>AR17*13</f>
        <v>0</v>
      </c>
      <c r="BK17" s="21"/>
      <c r="BL17" s="26">
        <f>AU17*13</f>
        <v>0</v>
      </c>
      <c r="BM17" s="15"/>
      <c r="BN17" s="26">
        <f t="shared" si="9"/>
        <v>0</v>
      </c>
      <c r="BO17" s="19"/>
      <c r="BP17" s="26">
        <f>BC17*13</f>
        <v>16374.539999999999</v>
      </c>
    </row>
    <row r="18" spans="1:68" ht="15" customHeight="1">
      <c r="A18" s="81" t="s">
        <v>50</v>
      </c>
      <c r="B18" s="84">
        <f>((B9+B14+B15+B16+B17)-B12-B11-B15)*100%</f>
        <v>3550.96</v>
      </c>
      <c r="E18" s="9"/>
      <c r="F18" s="5"/>
      <c r="K18" s="222" t="s">
        <v>5</v>
      </c>
      <c r="L18" s="223"/>
      <c r="M18" s="16"/>
      <c r="N18" s="9"/>
      <c r="O18" s="5"/>
      <c r="P18" s="16"/>
      <c r="Q18" s="9"/>
      <c r="R18" s="5"/>
      <c r="V18" s="9"/>
      <c r="W18" s="5"/>
      <c r="X18" s="65"/>
      <c r="Y18" s="161">
        <v>0.525</v>
      </c>
      <c r="Z18" s="5">
        <f>Y9*Y18</f>
        <v>1259.58</v>
      </c>
      <c r="AA18" s="65"/>
      <c r="AB18" s="10"/>
      <c r="AC18" s="10"/>
      <c r="AD18" s="36"/>
      <c r="AF18" s="12"/>
      <c r="AH18" s="12"/>
      <c r="AI18" s="2"/>
      <c r="AJ18" s="12"/>
      <c r="AK18" s="60"/>
      <c r="AL18" s="12">
        <f>Z18*13</f>
        <v>16374.539999999999</v>
      </c>
      <c r="AM18" s="2"/>
      <c r="AO18" s="222" t="s">
        <v>30</v>
      </c>
      <c r="AP18" s="223"/>
      <c r="AQ18" s="16"/>
      <c r="AR18" s="9"/>
      <c r="AS18" s="5"/>
      <c r="AT18" s="16"/>
      <c r="AU18" s="9"/>
      <c r="AV18" s="5"/>
      <c r="AZ18" s="9"/>
      <c r="BA18" s="5"/>
      <c r="BB18" s="65"/>
      <c r="BC18" s="161">
        <v>0.525</v>
      </c>
      <c r="BD18" s="5">
        <f>BC9*BC18</f>
        <v>1259.58</v>
      </c>
      <c r="BE18" s="65"/>
      <c r="BF18" s="10"/>
      <c r="BG18" s="10"/>
      <c r="BH18" s="36"/>
      <c r="BJ18" s="12"/>
      <c r="BL18" s="12"/>
      <c r="BM18" s="2"/>
      <c r="BN18" s="12"/>
      <c r="BO18" s="60"/>
      <c r="BP18" s="12">
        <f>BD18*13</f>
        <v>16374.539999999999</v>
      </c>
    </row>
    <row r="19" spans="1:68" ht="15" customHeight="1">
      <c r="A19" s="82" t="s">
        <v>51</v>
      </c>
      <c r="B19" s="85">
        <f>B18+B17+B16+B15+B14+B9</f>
        <v>7821.669999999999</v>
      </c>
      <c r="E19" s="4"/>
      <c r="F19" s="5"/>
      <c r="K19" s="222" t="s">
        <v>92</v>
      </c>
      <c r="L19" s="223"/>
      <c r="M19" s="16"/>
      <c r="N19" s="4"/>
      <c r="O19" s="5"/>
      <c r="P19" s="16"/>
      <c r="Q19" s="4"/>
      <c r="R19" s="5"/>
      <c r="V19" s="4"/>
      <c r="W19" s="5"/>
      <c r="Y19" s="4"/>
      <c r="Z19" s="5"/>
      <c r="AB19" s="10"/>
      <c r="AC19" s="10"/>
      <c r="AD19" s="36"/>
      <c r="AE19" s="62"/>
      <c r="AF19" s="12"/>
      <c r="AG19" s="62"/>
      <c r="AH19" s="12"/>
      <c r="AI19" s="2"/>
      <c r="AJ19" s="12"/>
      <c r="AK19" s="60"/>
      <c r="AL19" s="12"/>
      <c r="AM19" s="2"/>
      <c r="AO19" s="222" t="s">
        <v>91</v>
      </c>
      <c r="AP19" s="223"/>
      <c r="AQ19" s="16"/>
      <c r="AR19" s="4"/>
      <c r="AS19" s="5"/>
      <c r="AT19" s="16"/>
      <c r="AU19" s="4"/>
      <c r="AV19" s="5"/>
      <c r="AZ19" s="4"/>
      <c r="BA19" s="5"/>
      <c r="BC19" s="4"/>
      <c r="BD19" s="5"/>
      <c r="BF19" s="10"/>
      <c r="BG19" s="10"/>
      <c r="BH19" s="36"/>
      <c r="BI19" s="62"/>
      <c r="BJ19" s="12"/>
      <c r="BK19" s="62"/>
      <c r="BL19" s="12"/>
      <c r="BM19" s="2"/>
      <c r="BN19" s="12"/>
      <c r="BO19" s="60"/>
      <c r="BP19" s="12"/>
    </row>
    <row r="20" spans="5:68" ht="15" customHeight="1" thickBot="1">
      <c r="E20" s="4"/>
      <c r="F20" s="5"/>
      <c r="K20" s="222" t="s">
        <v>6</v>
      </c>
      <c r="L20" s="223"/>
      <c r="M20" s="16"/>
      <c r="N20" s="4"/>
      <c r="O20" s="5"/>
      <c r="P20" s="16"/>
      <c r="Q20" s="4"/>
      <c r="R20" s="5"/>
      <c r="V20" s="4"/>
      <c r="W20" s="5"/>
      <c r="X20" s="70"/>
      <c r="Y20" s="4"/>
      <c r="Z20" s="5"/>
      <c r="AA20" s="70"/>
      <c r="AB20" s="10"/>
      <c r="AC20" s="10"/>
      <c r="AD20" s="36"/>
      <c r="AF20" s="12"/>
      <c r="AH20" s="12"/>
      <c r="AI20" s="2"/>
      <c r="AJ20" s="12"/>
      <c r="AK20" s="60"/>
      <c r="AL20" s="12"/>
      <c r="AM20" s="2"/>
      <c r="AO20" s="222" t="s">
        <v>31</v>
      </c>
      <c r="AP20" s="223"/>
      <c r="AQ20" s="16"/>
      <c r="AR20" s="4"/>
      <c r="AS20" s="5"/>
      <c r="AT20" s="16"/>
      <c r="AU20" s="4"/>
      <c r="AV20" s="5"/>
      <c r="AZ20" s="4"/>
      <c r="BA20" s="5"/>
      <c r="BB20" s="70"/>
      <c r="BC20" s="4"/>
      <c r="BD20" s="5"/>
      <c r="BE20" s="70"/>
      <c r="BF20" s="10"/>
      <c r="BG20" s="10"/>
      <c r="BH20" s="36"/>
      <c r="BJ20" s="12"/>
      <c r="BL20" s="12"/>
      <c r="BM20" s="2"/>
      <c r="BN20" s="12"/>
      <c r="BO20" s="60"/>
      <c r="BP20" s="12"/>
    </row>
    <row r="21" spans="5:68" ht="15" customHeight="1" hidden="1" outlineLevel="1">
      <c r="E21" s="5"/>
      <c r="F21" s="5"/>
      <c r="K21" s="222" t="s">
        <v>66</v>
      </c>
      <c r="L21" s="223"/>
      <c r="M21" s="16"/>
      <c r="N21" s="5"/>
      <c r="O21" s="5"/>
      <c r="P21" s="16"/>
      <c r="Q21" s="5"/>
      <c r="R21" s="5"/>
      <c r="V21" s="5"/>
      <c r="W21" s="5"/>
      <c r="Y21" s="5"/>
      <c r="Z21" s="5"/>
      <c r="AB21" s="10"/>
      <c r="AC21" s="10"/>
      <c r="AD21" s="36"/>
      <c r="AF21" s="12"/>
      <c r="AH21" s="12"/>
      <c r="AI21" s="2"/>
      <c r="AJ21" s="12"/>
      <c r="AK21" s="60"/>
      <c r="AL21" s="12"/>
      <c r="AM21" s="2"/>
      <c r="AO21" s="222" t="s">
        <v>66</v>
      </c>
      <c r="AP21" s="223"/>
      <c r="AQ21" s="16"/>
      <c r="AR21" s="5"/>
      <c r="AS21" s="5"/>
      <c r="AT21" s="16"/>
      <c r="AU21" s="5"/>
      <c r="AV21" s="5"/>
      <c r="AZ21" s="5"/>
      <c r="BA21" s="5"/>
      <c r="BC21" s="5"/>
      <c r="BD21" s="5"/>
      <c r="BF21" s="10"/>
      <c r="BG21" s="10"/>
      <c r="BH21" s="36"/>
      <c r="BJ21" s="12"/>
      <c r="BL21" s="12"/>
      <c r="BM21" s="2"/>
      <c r="BN21" s="12"/>
      <c r="BO21" s="60"/>
      <c r="BP21" s="12"/>
    </row>
    <row r="22" spans="5:68" ht="28.5" customHeight="1" collapsed="1" thickBot="1">
      <c r="E22" s="227">
        <f>E24+E25</f>
        <v>2187.696</v>
      </c>
      <c r="F22" s="228"/>
      <c r="K22" s="209" t="s">
        <v>7</v>
      </c>
      <c r="L22" s="210"/>
      <c r="M22" s="14"/>
      <c r="N22" s="227">
        <f>N24</f>
        <v>1772.76</v>
      </c>
      <c r="O22" s="228"/>
      <c r="P22" s="14"/>
      <c r="Q22" s="227">
        <f>Q24</f>
        <v>1772.76</v>
      </c>
      <c r="R22" s="228"/>
      <c r="S22" s="3"/>
      <c r="T22" s="3"/>
      <c r="U22" s="3"/>
      <c r="V22" s="227">
        <f>V23</f>
        <v>0</v>
      </c>
      <c r="W22" s="228"/>
      <c r="Y22" s="227">
        <f>Y23</f>
        <v>0</v>
      </c>
      <c r="Z22" s="228"/>
      <c r="AB22" s="28">
        <f>V22-Q22</f>
        <v>-1772.76</v>
      </c>
      <c r="AC22" s="28">
        <f>V22-N22</f>
        <v>-1772.76</v>
      </c>
      <c r="AD22" s="34"/>
      <c r="AE22" s="21">
        <v>12</v>
      </c>
      <c r="AF22" s="26">
        <f>N22*12</f>
        <v>21273.12</v>
      </c>
      <c r="AG22" s="21"/>
      <c r="AH22" s="26">
        <f>Q22*12</f>
        <v>21273.12</v>
      </c>
      <c r="AI22" s="15"/>
      <c r="AJ22" s="25">
        <f>V22*12</f>
        <v>0</v>
      </c>
      <c r="AK22" s="22"/>
      <c r="AL22" s="25">
        <f>X22*12</f>
        <v>0</v>
      </c>
      <c r="AM22" s="10"/>
      <c r="AO22" s="209" t="s">
        <v>33</v>
      </c>
      <c r="AP22" s="210"/>
      <c r="AQ22" s="14"/>
      <c r="AR22" s="227">
        <f>AR24</f>
        <v>1772.76</v>
      </c>
      <c r="AS22" s="228"/>
      <c r="AT22" s="14"/>
      <c r="AU22" s="227">
        <f>AU24</f>
        <v>1772.76</v>
      </c>
      <c r="AV22" s="228"/>
      <c r="AW22" s="3"/>
      <c r="AX22" s="3"/>
      <c r="AY22" s="3"/>
      <c r="AZ22" s="227">
        <f>AZ23</f>
        <v>0</v>
      </c>
      <c r="BA22" s="228"/>
      <c r="BC22" s="227">
        <f>BC23</f>
        <v>0</v>
      </c>
      <c r="BD22" s="228"/>
      <c r="BF22" s="28">
        <f>AZ22-AU22</f>
        <v>-1772.76</v>
      </c>
      <c r="BG22" s="28">
        <f>AZ22-AR22</f>
        <v>-1772.76</v>
      </c>
      <c r="BH22" s="34"/>
      <c r="BI22" s="21">
        <v>12</v>
      </c>
      <c r="BJ22" s="26">
        <f>AR22*12</f>
        <v>21273.12</v>
      </c>
      <c r="BK22" s="21"/>
      <c r="BL22" s="26">
        <f>AU22*12</f>
        <v>21273.12</v>
      </c>
      <c r="BM22" s="15"/>
      <c r="BN22" s="25">
        <f>AZ22*12</f>
        <v>0</v>
      </c>
      <c r="BO22" s="22"/>
      <c r="BP22" s="25">
        <f>BB22*12</f>
        <v>0</v>
      </c>
    </row>
    <row r="23" spans="5:68" ht="15" customHeight="1">
      <c r="E23" s="224">
        <v>0</v>
      </c>
      <c r="F23" s="225"/>
      <c r="K23" s="17" t="s">
        <v>90</v>
      </c>
      <c r="L23" s="7">
        <v>0</v>
      </c>
      <c r="M23" s="16"/>
      <c r="N23" s="224">
        <v>0</v>
      </c>
      <c r="O23" s="225"/>
      <c r="P23" s="16"/>
      <c r="Q23" s="224">
        <v>0</v>
      </c>
      <c r="R23" s="225"/>
      <c r="V23" s="224">
        <v>0</v>
      </c>
      <c r="W23" s="225"/>
      <c r="Y23" s="224">
        <v>0</v>
      </c>
      <c r="Z23" s="225"/>
      <c r="AD23" s="63"/>
      <c r="AF23" s="12">
        <v>0</v>
      </c>
      <c r="AH23" s="12">
        <v>0</v>
      </c>
      <c r="AI23" s="2"/>
      <c r="AJ23" s="12">
        <v>0</v>
      </c>
      <c r="AK23" s="22"/>
      <c r="AL23" s="12">
        <v>0</v>
      </c>
      <c r="AM23" s="2"/>
      <c r="AO23" s="17" t="s">
        <v>89</v>
      </c>
      <c r="AP23" s="7">
        <v>0</v>
      </c>
      <c r="AQ23" s="16"/>
      <c r="AR23" s="224">
        <v>0</v>
      </c>
      <c r="AS23" s="225"/>
      <c r="AT23" s="16"/>
      <c r="AU23" s="224">
        <v>0</v>
      </c>
      <c r="AV23" s="225"/>
      <c r="AZ23" s="224">
        <v>0</v>
      </c>
      <c r="BA23" s="225"/>
      <c r="BC23" s="224">
        <v>0</v>
      </c>
      <c r="BD23" s="225"/>
      <c r="BH23" s="63"/>
      <c r="BJ23" s="12">
        <v>0</v>
      </c>
      <c r="BL23" s="12">
        <v>0</v>
      </c>
      <c r="BM23" s="2"/>
      <c r="BN23" s="12">
        <v>0</v>
      </c>
      <c r="BO23" s="22"/>
      <c r="BP23" s="12">
        <v>0</v>
      </c>
    </row>
    <row r="24" spans="4:68" ht="15" customHeight="1">
      <c r="D24" s="88" t="s">
        <v>58</v>
      </c>
      <c r="E24" s="224">
        <f>136*3*4.345</f>
        <v>1772.76</v>
      </c>
      <c r="F24" s="225"/>
      <c r="K24" s="17" t="s">
        <v>15</v>
      </c>
      <c r="L24" s="11">
        <v>3</v>
      </c>
      <c r="M24" s="16"/>
      <c r="N24" s="224">
        <f>136*L24*4.345</f>
        <v>1772.76</v>
      </c>
      <c r="O24" s="225"/>
      <c r="P24" s="16"/>
      <c r="Q24" s="224">
        <f>136*L24*4.345</f>
        <v>1772.76</v>
      </c>
      <c r="R24" s="225"/>
      <c r="V24" s="214"/>
      <c r="W24" s="215"/>
      <c r="Y24" s="214"/>
      <c r="Z24" s="215"/>
      <c r="AD24" s="63"/>
      <c r="AF24" s="12">
        <f>N24*12</f>
        <v>21273.12</v>
      </c>
      <c r="AH24" s="12">
        <f>Q24*12</f>
        <v>21273.12</v>
      </c>
      <c r="AI24" s="2"/>
      <c r="AJ24" s="31"/>
      <c r="AK24" s="64"/>
      <c r="AL24" s="31"/>
      <c r="AM24" s="2"/>
      <c r="AO24" s="17" t="s">
        <v>60</v>
      </c>
      <c r="AP24" s="11">
        <v>3</v>
      </c>
      <c r="AQ24" s="16"/>
      <c r="AR24" s="224">
        <f>136*AP24*4.345</f>
        <v>1772.76</v>
      </c>
      <c r="AS24" s="225"/>
      <c r="AT24" s="16"/>
      <c r="AU24" s="224">
        <f>136*AP24*4.345</f>
        <v>1772.76</v>
      </c>
      <c r="AV24" s="225"/>
      <c r="AZ24" s="214"/>
      <c r="BA24" s="215"/>
      <c r="BC24" s="214"/>
      <c r="BD24" s="215"/>
      <c r="BH24" s="63"/>
      <c r="BJ24" s="12">
        <f>AR24*12</f>
        <v>21273.12</v>
      </c>
      <c r="BL24" s="12">
        <f>AU24*12</f>
        <v>21273.12</v>
      </c>
      <c r="BM24" s="2"/>
      <c r="BN24" s="31"/>
      <c r="BO24" s="64"/>
      <c r="BP24" s="31"/>
    </row>
    <row r="25" spans="5:68" ht="15" customHeight="1">
      <c r="E25" s="224">
        <f>(E8+E17)*8%</f>
        <v>414.936</v>
      </c>
      <c r="F25" s="225"/>
      <c r="K25" s="17" t="s">
        <v>99</v>
      </c>
      <c r="L25" s="7"/>
      <c r="M25" s="16"/>
      <c r="N25" s="214"/>
      <c r="O25" s="215"/>
      <c r="P25" s="16"/>
      <c r="Q25" s="214"/>
      <c r="R25" s="215"/>
      <c r="V25" s="214"/>
      <c r="W25" s="215"/>
      <c r="X25" s="44"/>
      <c r="Y25" s="214"/>
      <c r="Z25" s="215"/>
      <c r="AA25" s="160"/>
      <c r="AB25" s="23"/>
      <c r="AC25" s="23"/>
      <c r="AD25" s="24"/>
      <c r="AE25" s="24"/>
      <c r="AF25" s="31"/>
      <c r="AG25" s="24"/>
      <c r="AH25" s="31"/>
      <c r="AI25" s="2"/>
      <c r="AJ25" s="31"/>
      <c r="AK25" s="22"/>
      <c r="AL25" s="31"/>
      <c r="AM25" s="2"/>
      <c r="AO25" s="17" t="s">
        <v>34</v>
      </c>
      <c r="AP25" s="7"/>
      <c r="AQ25" s="16"/>
      <c r="AR25" s="214"/>
      <c r="AS25" s="215"/>
      <c r="AT25" s="16"/>
      <c r="AU25" s="214"/>
      <c r="AV25" s="215"/>
      <c r="AZ25" s="214"/>
      <c r="BA25" s="215"/>
      <c r="BB25" s="44"/>
      <c r="BC25" s="214"/>
      <c r="BD25" s="215"/>
      <c r="BE25" s="160"/>
      <c r="BF25" s="23"/>
      <c r="BG25" s="23"/>
      <c r="BH25" s="24"/>
      <c r="BI25" s="24"/>
      <c r="BJ25" s="31"/>
      <c r="BK25" s="24"/>
      <c r="BL25" s="31"/>
      <c r="BM25" s="2"/>
      <c r="BN25" s="31"/>
      <c r="BO25" s="22"/>
      <c r="BP25" s="31"/>
    </row>
    <row r="26" spans="5:68" ht="28.5" customHeight="1">
      <c r="E26" s="205">
        <f>E28</f>
        <v>590.92</v>
      </c>
      <c r="F26" s="206"/>
      <c r="K26" s="209" t="s">
        <v>16</v>
      </c>
      <c r="L26" s="210"/>
      <c r="M26" s="16"/>
      <c r="N26" s="205">
        <f>N28+N30</f>
        <v>590.92</v>
      </c>
      <c r="O26" s="206"/>
      <c r="P26" s="16"/>
      <c r="Q26" s="205">
        <f>Q28+Q30</f>
        <v>590.92</v>
      </c>
      <c r="R26" s="206"/>
      <c r="V26" s="205"/>
      <c r="W26" s="206"/>
      <c r="Y26" s="205"/>
      <c r="Z26" s="206"/>
      <c r="AD26" s="63"/>
      <c r="AE26" s="21">
        <v>12</v>
      </c>
      <c r="AF26" s="26">
        <f>N26*12</f>
        <v>7091.039999999999</v>
      </c>
      <c r="AG26" s="21"/>
      <c r="AH26" s="26">
        <f>AH28</f>
        <v>7091.039999999999</v>
      </c>
      <c r="AI26" s="15"/>
      <c r="AJ26" s="26"/>
      <c r="AK26" s="19"/>
      <c r="AL26" s="26"/>
      <c r="AM26" s="15"/>
      <c r="AO26" s="209" t="s">
        <v>35</v>
      </c>
      <c r="AP26" s="210"/>
      <c r="AQ26" s="16"/>
      <c r="AR26" s="205">
        <f>AR28+AR30</f>
        <v>590.92</v>
      </c>
      <c r="AS26" s="206"/>
      <c r="AT26" s="16"/>
      <c r="AU26" s="205">
        <f>AU28+AU30</f>
        <v>590.92</v>
      </c>
      <c r="AV26" s="206"/>
      <c r="AZ26" s="205"/>
      <c r="BA26" s="206"/>
      <c r="BC26" s="205"/>
      <c r="BD26" s="206"/>
      <c r="BH26" s="63"/>
      <c r="BI26" s="21">
        <v>12</v>
      </c>
      <c r="BJ26" s="26">
        <f>AR26*12</f>
        <v>7091.039999999999</v>
      </c>
      <c r="BK26" s="21"/>
      <c r="BL26" s="26">
        <f>BL28</f>
        <v>7091.039999999999</v>
      </c>
      <c r="BM26" s="15"/>
      <c r="BN26" s="26"/>
      <c r="BO26" s="19"/>
      <c r="BP26" s="26"/>
    </row>
    <row r="27" spans="5:68" ht="15" customHeight="1">
      <c r="E27" s="214"/>
      <c r="F27" s="215"/>
      <c r="K27" s="222" t="s">
        <v>189</v>
      </c>
      <c r="L27" s="223"/>
      <c r="M27" s="18"/>
      <c r="N27" s="214"/>
      <c r="O27" s="215"/>
      <c r="P27" s="18"/>
      <c r="Q27" s="214"/>
      <c r="R27" s="215"/>
      <c r="V27" s="214"/>
      <c r="W27" s="215"/>
      <c r="Y27" s="214"/>
      <c r="Z27" s="215"/>
      <c r="AD27" s="63"/>
      <c r="AE27" s="21"/>
      <c r="AF27" s="31"/>
      <c r="AG27" s="21"/>
      <c r="AH27" s="31"/>
      <c r="AI27" s="2"/>
      <c r="AJ27" s="31"/>
      <c r="AK27" s="68"/>
      <c r="AL27" s="31"/>
      <c r="AM27" s="2"/>
      <c r="AO27" s="222" t="s">
        <v>40</v>
      </c>
      <c r="AP27" s="223"/>
      <c r="AQ27" s="18"/>
      <c r="AR27" s="214"/>
      <c r="AS27" s="215"/>
      <c r="AT27" s="18"/>
      <c r="AU27" s="214"/>
      <c r="AV27" s="215"/>
      <c r="AZ27" s="214"/>
      <c r="BA27" s="215"/>
      <c r="BC27" s="214"/>
      <c r="BD27" s="215"/>
      <c r="BH27" s="63"/>
      <c r="BI27" s="21"/>
      <c r="BJ27" s="31"/>
      <c r="BK27" s="21"/>
      <c r="BL27" s="31"/>
      <c r="BM27" s="2"/>
      <c r="BN27" s="31"/>
      <c r="BO27" s="68"/>
      <c r="BP27" s="31"/>
    </row>
    <row r="28" spans="5:68" ht="15" customHeight="1">
      <c r="E28" s="204">
        <f>E24/3</f>
        <v>590.92</v>
      </c>
      <c r="F28" s="204"/>
      <c r="K28" s="222" t="s">
        <v>11</v>
      </c>
      <c r="L28" s="223"/>
      <c r="M28" s="18"/>
      <c r="N28" s="204">
        <f>N24/3</f>
        <v>590.92</v>
      </c>
      <c r="O28" s="204"/>
      <c r="P28" s="18"/>
      <c r="Q28" s="204">
        <f>Q24/3</f>
        <v>590.92</v>
      </c>
      <c r="R28" s="204"/>
      <c r="V28" s="214"/>
      <c r="W28" s="215"/>
      <c r="Y28" s="214"/>
      <c r="Z28" s="215"/>
      <c r="AD28" s="63"/>
      <c r="AF28" s="12">
        <f>N28*12</f>
        <v>7091.039999999999</v>
      </c>
      <c r="AH28" s="12">
        <f>Q28*12</f>
        <v>7091.039999999999</v>
      </c>
      <c r="AI28" s="2"/>
      <c r="AJ28" s="31"/>
      <c r="AK28" s="68"/>
      <c r="AL28" s="31"/>
      <c r="AM28" s="2"/>
      <c r="AO28" s="222" t="s">
        <v>36</v>
      </c>
      <c r="AP28" s="223"/>
      <c r="AQ28" s="18"/>
      <c r="AR28" s="204">
        <f>AR24/3</f>
        <v>590.92</v>
      </c>
      <c r="AS28" s="204"/>
      <c r="AT28" s="18"/>
      <c r="AU28" s="204">
        <f>AU24/3</f>
        <v>590.92</v>
      </c>
      <c r="AV28" s="204"/>
      <c r="AZ28" s="214"/>
      <c r="BA28" s="215"/>
      <c r="BC28" s="214"/>
      <c r="BD28" s="215"/>
      <c r="BH28" s="63"/>
      <c r="BJ28" s="12">
        <f>AR28*12</f>
        <v>7091.039999999999</v>
      </c>
      <c r="BL28" s="12">
        <f>AU28*12</f>
        <v>7091.039999999999</v>
      </c>
      <c r="BM28" s="2"/>
      <c r="BN28" s="31"/>
      <c r="BO28" s="68"/>
      <c r="BP28" s="31"/>
    </row>
    <row r="29" spans="5:68" ht="15" customHeight="1">
      <c r="E29" s="214"/>
      <c r="F29" s="215"/>
      <c r="K29" s="222" t="s">
        <v>12</v>
      </c>
      <c r="L29" s="223"/>
      <c r="M29" s="18"/>
      <c r="N29" s="214"/>
      <c r="O29" s="215"/>
      <c r="P29" s="18"/>
      <c r="Q29" s="214"/>
      <c r="R29" s="215"/>
      <c r="V29" s="214"/>
      <c r="W29" s="215"/>
      <c r="Y29" s="214"/>
      <c r="Z29" s="215"/>
      <c r="AD29" s="63"/>
      <c r="AF29" s="31"/>
      <c r="AH29" s="31"/>
      <c r="AI29" s="2"/>
      <c r="AJ29" s="31"/>
      <c r="AK29" s="68"/>
      <c r="AL29" s="31"/>
      <c r="AM29" s="2"/>
      <c r="AO29" s="222" t="s">
        <v>37</v>
      </c>
      <c r="AP29" s="223"/>
      <c r="AQ29" s="18"/>
      <c r="AR29" s="214"/>
      <c r="AS29" s="215"/>
      <c r="AT29" s="18"/>
      <c r="AU29" s="214"/>
      <c r="AV29" s="215"/>
      <c r="AZ29" s="214"/>
      <c r="BA29" s="215"/>
      <c r="BC29" s="214"/>
      <c r="BD29" s="215"/>
      <c r="BH29" s="63"/>
      <c r="BJ29" s="31"/>
      <c r="BL29" s="31"/>
      <c r="BM29" s="2"/>
      <c r="BN29" s="31"/>
      <c r="BO29" s="68"/>
      <c r="BP29" s="31"/>
    </row>
    <row r="30" spans="5:68" ht="15" customHeight="1" thickBot="1">
      <c r="E30" s="224"/>
      <c r="F30" s="225"/>
      <c r="K30" s="222" t="s">
        <v>13</v>
      </c>
      <c r="L30" s="223"/>
      <c r="M30" s="18"/>
      <c r="N30" s="224"/>
      <c r="O30" s="225"/>
      <c r="P30" s="18"/>
      <c r="Q30" s="224">
        <v>0</v>
      </c>
      <c r="R30" s="225"/>
      <c r="V30" s="214"/>
      <c r="W30" s="215"/>
      <c r="Y30" s="214"/>
      <c r="Z30" s="215"/>
      <c r="AB30" s="1"/>
      <c r="AC30" s="1"/>
      <c r="AD30" s="63"/>
      <c r="AF30" s="12">
        <f>N30*12</f>
        <v>0</v>
      </c>
      <c r="AH30" s="12">
        <f>Q30*12</f>
        <v>0</v>
      </c>
      <c r="AI30" s="2"/>
      <c r="AJ30" s="31"/>
      <c r="AK30" s="68"/>
      <c r="AL30" s="31"/>
      <c r="AM30" s="2"/>
      <c r="AO30" s="222" t="s">
        <v>38</v>
      </c>
      <c r="AP30" s="223"/>
      <c r="AQ30" s="18"/>
      <c r="AR30" s="224"/>
      <c r="AS30" s="225"/>
      <c r="AT30" s="18"/>
      <c r="AU30" s="224">
        <v>0</v>
      </c>
      <c r="AV30" s="225"/>
      <c r="AZ30" s="214"/>
      <c r="BA30" s="215"/>
      <c r="BC30" s="214"/>
      <c r="BD30" s="215"/>
      <c r="BF30" s="1"/>
      <c r="BG30" s="1"/>
      <c r="BH30" s="63"/>
      <c r="BJ30" s="12">
        <f>AR30*12</f>
        <v>0</v>
      </c>
      <c r="BL30" s="12">
        <f>AU30*12</f>
        <v>0</v>
      </c>
      <c r="BM30" s="2"/>
      <c r="BN30" s="31"/>
      <c r="BO30" s="68"/>
      <c r="BP30" s="31"/>
    </row>
    <row r="31" spans="4:68" ht="28.5" customHeight="1" thickBot="1">
      <c r="D31" s="90" t="s">
        <v>72</v>
      </c>
      <c r="E31" s="217">
        <f>E8+E17+E22+E26</f>
        <v>7965.316</v>
      </c>
      <c r="F31" s="218"/>
      <c r="K31" s="207" t="s">
        <v>42</v>
      </c>
      <c r="L31" s="208"/>
      <c r="M31" s="18"/>
      <c r="N31" s="217">
        <f>N8+N17+N22+N26</f>
        <v>8094.8988478664005</v>
      </c>
      <c r="O31" s="218"/>
      <c r="P31" s="18"/>
      <c r="Q31" s="217">
        <f>Q8+Q17+Q22+Q26</f>
        <v>8701.586820298355</v>
      </c>
      <c r="R31" s="218"/>
      <c r="V31" s="217">
        <f>V8+V17+V22+V26</f>
        <v>8996.494897221432</v>
      </c>
      <c r="W31" s="218"/>
      <c r="X31" s="45"/>
      <c r="Y31" s="217">
        <f>Y8+Y17+Y22+Y26</f>
        <v>9819.305281836816</v>
      </c>
      <c r="Z31" s="218"/>
      <c r="AA31" s="45"/>
      <c r="AB31" s="28">
        <f>V31-Q31</f>
        <v>294.9080769230768</v>
      </c>
      <c r="AC31" s="28">
        <f>V31-N31</f>
        <v>901.596049355031</v>
      </c>
      <c r="AD31" s="34"/>
      <c r="AE31" s="13"/>
      <c r="AF31" s="37">
        <f>AF8+AF17+AF22+AF26</f>
        <v>102870.0050222632</v>
      </c>
      <c r="AG31" s="13"/>
      <c r="AH31" s="37">
        <f>AH8+AH17+AH22+AH26</f>
        <v>110756.9486638786</v>
      </c>
      <c r="AI31" s="15"/>
      <c r="AJ31" s="37">
        <f>AJ8+AJ17+AJ22+AJ26</f>
        <v>116954.4336638786</v>
      </c>
      <c r="AK31" s="29"/>
      <c r="AL31" s="37">
        <f>AL8+AL17+AL22+AL26</f>
        <v>127650.96866387861</v>
      </c>
      <c r="AM31" s="15"/>
      <c r="AO31" s="207" t="s">
        <v>43</v>
      </c>
      <c r="AP31" s="208"/>
      <c r="AQ31" s="18"/>
      <c r="AR31" s="217">
        <f>AR8+AR17+AR22+AR26</f>
        <v>6956.05724504</v>
      </c>
      <c r="AS31" s="218"/>
      <c r="AT31" s="18"/>
      <c r="AU31" s="217">
        <f>AU8+AU17+AU22+AU26</f>
        <v>8701.586820298355</v>
      </c>
      <c r="AV31" s="218"/>
      <c r="AZ31" s="217">
        <f>AZ8+AZ17+AZ22+AZ26</f>
        <v>8996.494897221432</v>
      </c>
      <c r="BA31" s="218"/>
      <c r="BB31" s="45"/>
      <c r="BC31" s="217">
        <f>BC8+BC17+BC22+BC26</f>
        <v>9819.305281836816</v>
      </c>
      <c r="BD31" s="218"/>
      <c r="BE31" s="45"/>
      <c r="BF31" s="28">
        <f>AZ31-AU31</f>
        <v>294.9080769230768</v>
      </c>
      <c r="BG31" s="28">
        <f>AZ31-AR31</f>
        <v>2040.437652181431</v>
      </c>
      <c r="BH31" s="34"/>
      <c r="BI31" s="13"/>
      <c r="BJ31" s="37">
        <f>BJ8+BJ17+BJ22+BJ26</f>
        <v>88065.06418552</v>
      </c>
      <c r="BK31" s="13"/>
      <c r="BL31" s="37">
        <f>BL8+BL17+BL22+BL26</f>
        <v>110756.9486638786</v>
      </c>
      <c r="BM31" s="15"/>
      <c r="BN31" s="37">
        <f>BN8+BN17+BN22+BN26</f>
        <v>116954.4336638786</v>
      </c>
      <c r="BO31" s="29"/>
      <c r="BP31" s="37">
        <f>BP8+BP17+BP22+BP26</f>
        <v>127650.96866387861</v>
      </c>
    </row>
    <row r="32" spans="22:62" ht="12.75" customHeight="1">
      <c r="V32" s="1"/>
      <c r="W32" s="1"/>
      <c r="Y32" s="1"/>
      <c r="Z32" s="1"/>
      <c r="AD32" s="63"/>
      <c r="AF32" s="3"/>
      <c r="AZ32" s="1"/>
      <c r="BA32" s="1"/>
      <c r="BC32" s="1"/>
      <c r="BD32" s="1"/>
      <c r="BH32" s="63"/>
      <c r="BJ32" s="3"/>
    </row>
    <row r="33" spans="10:60" ht="15" customHeight="1">
      <c r="J33" s="167" t="s">
        <v>62</v>
      </c>
      <c r="K33" s="168" t="s">
        <v>65</v>
      </c>
      <c r="V33" s="1"/>
      <c r="W33" s="1"/>
      <c r="Y33" s="1"/>
      <c r="Z33" s="1"/>
      <c r="AD33" s="63"/>
      <c r="AN33" s="167" t="s">
        <v>62</v>
      </c>
      <c r="AO33" s="168" t="s">
        <v>225</v>
      </c>
      <c r="AZ33" s="1"/>
      <c r="BA33" s="1"/>
      <c r="BC33" s="1"/>
      <c r="BD33" s="1"/>
      <c r="BH33" s="63"/>
    </row>
    <row r="34" spans="10:56" ht="15" customHeight="1">
      <c r="J34" s="167"/>
      <c r="K34" s="168"/>
      <c r="V34" s="1"/>
      <c r="W34" s="1"/>
      <c r="Y34" s="1"/>
      <c r="Z34" s="1"/>
      <c r="AN34" s="167"/>
      <c r="AO34" s="168"/>
      <c r="AZ34" s="1"/>
      <c r="BA34" s="1"/>
      <c r="BC34" s="1"/>
      <c r="BD34" s="1"/>
    </row>
    <row r="35" spans="10:41" ht="15" customHeight="1">
      <c r="J35" s="167" t="s">
        <v>63</v>
      </c>
      <c r="K35" s="168" t="s">
        <v>111</v>
      </c>
      <c r="AN35" s="167" t="s">
        <v>63</v>
      </c>
      <c r="AO35" s="168" t="s">
        <v>210</v>
      </c>
    </row>
    <row r="36" spans="10:41" ht="15" customHeight="1">
      <c r="J36" s="167"/>
      <c r="K36" s="168"/>
      <c r="AN36" s="167"/>
      <c r="AO36" s="168"/>
    </row>
    <row r="37" spans="10:41" ht="15" customHeight="1">
      <c r="J37" s="167" t="s">
        <v>64</v>
      </c>
      <c r="K37" s="168" t="s">
        <v>67</v>
      </c>
      <c r="AN37" s="167" t="s">
        <v>64</v>
      </c>
      <c r="AO37" s="168" t="s">
        <v>201</v>
      </c>
    </row>
    <row r="38" spans="10:41" ht="15" customHeight="1">
      <c r="J38" s="168"/>
      <c r="K38" s="169" t="s">
        <v>69</v>
      </c>
      <c r="AN38" s="168"/>
      <c r="AO38" s="169" t="s">
        <v>87</v>
      </c>
    </row>
    <row r="39" spans="10:41" ht="15" customHeight="1">
      <c r="J39" s="168"/>
      <c r="K39" s="169" t="s">
        <v>159</v>
      </c>
      <c r="AN39" s="168"/>
      <c r="AO39" s="169" t="s">
        <v>86</v>
      </c>
    </row>
    <row r="40" spans="10:41" ht="15" customHeight="1">
      <c r="J40" s="168"/>
      <c r="K40" s="169" t="s">
        <v>161</v>
      </c>
      <c r="AN40" s="168"/>
      <c r="AO40" s="169" t="s">
        <v>220</v>
      </c>
    </row>
    <row r="41" spans="10:41" ht="15" customHeight="1">
      <c r="J41" s="168"/>
      <c r="K41" s="168" t="s">
        <v>68</v>
      </c>
      <c r="AN41" s="168"/>
      <c r="AO41" s="168" t="s">
        <v>219</v>
      </c>
    </row>
    <row r="42" spans="10:41" ht="15" customHeight="1">
      <c r="J42" s="168"/>
      <c r="K42" s="169">
        <v>28364.16</v>
      </c>
      <c r="AN42" s="168"/>
      <c r="AO42" s="169">
        <f aca="true" t="shared" si="13" ref="AO42:AO47">K42</f>
        <v>28364.16</v>
      </c>
    </row>
    <row r="43" spans="10:41" ht="15" customHeight="1">
      <c r="J43" s="167" t="s">
        <v>70</v>
      </c>
      <c r="K43" s="168">
        <v>14182.08</v>
      </c>
      <c r="AN43" s="167" t="s">
        <v>70</v>
      </c>
      <c r="AO43" s="169">
        <f t="shared" si="13"/>
        <v>14182.08</v>
      </c>
    </row>
    <row r="44" spans="10:41" ht="15" customHeight="1">
      <c r="J44" s="167" t="s">
        <v>70</v>
      </c>
      <c r="K44" s="168">
        <v>6197.49</v>
      </c>
      <c r="AN44" s="167" t="s">
        <v>70</v>
      </c>
      <c r="AO44" s="169">
        <f t="shared" si="13"/>
        <v>6197.49</v>
      </c>
    </row>
    <row r="45" spans="10:41" ht="15" customHeight="1">
      <c r="J45" s="167" t="s">
        <v>70</v>
      </c>
      <c r="K45" s="168">
        <v>2306.59</v>
      </c>
      <c r="AN45" s="167" t="s">
        <v>70</v>
      </c>
      <c r="AO45" s="169">
        <f t="shared" si="13"/>
        <v>2306.59</v>
      </c>
    </row>
    <row r="46" spans="10:41" ht="15" customHeight="1">
      <c r="J46" s="168"/>
      <c r="K46" s="170">
        <f>K42-(K43+K44+K45)</f>
        <v>5678</v>
      </c>
      <c r="AN46" s="168"/>
      <c r="AO46" s="188">
        <f t="shared" si="13"/>
        <v>5678</v>
      </c>
    </row>
    <row r="47" spans="10:41" ht="15" customHeight="1">
      <c r="J47" s="167" t="s">
        <v>71</v>
      </c>
      <c r="K47" s="171">
        <f>K46/13</f>
        <v>436.7692307692308</v>
      </c>
      <c r="AN47" s="167" t="s">
        <v>71</v>
      </c>
      <c r="AO47" s="189">
        <f t="shared" si="13"/>
        <v>436.7692307692308</v>
      </c>
    </row>
    <row r="48" spans="10:41" ht="15" customHeight="1">
      <c r="J48" s="168"/>
      <c r="K48" s="168" t="s">
        <v>105</v>
      </c>
      <c r="AN48" s="168"/>
      <c r="AO48" s="187" t="s">
        <v>203</v>
      </c>
    </row>
    <row r="49" spans="10:41" ht="10.5" customHeight="1">
      <c r="J49" s="168"/>
      <c r="K49" s="168"/>
      <c r="AN49" s="168"/>
      <c r="AO49" s="168"/>
    </row>
    <row r="50" spans="10:41" ht="15" customHeight="1">
      <c r="J50" s="167" t="s">
        <v>184</v>
      </c>
      <c r="K50" s="168" t="s">
        <v>187</v>
      </c>
      <c r="AN50" s="167" t="s">
        <v>184</v>
      </c>
      <c r="AO50" s="168" t="s">
        <v>215</v>
      </c>
    </row>
    <row r="56" spans="18:48" ht="12.75">
      <c r="R56" s="41"/>
      <c r="AV56" s="41"/>
    </row>
    <row r="58" spans="17:48" ht="12.75">
      <c r="Q58" s="2"/>
      <c r="R58" s="2"/>
      <c r="AU58" s="2"/>
      <c r="AV58" s="2"/>
    </row>
    <row r="60" spans="18:48" ht="12.75">
      <c r="R60" s="2"/>
      <c r="AV60" s="2"/>
    </row>
    <row r="61" spans="18:48" ht="12.75">
      <c r="R61" s="2"/>
      <c r="AV61" s="2"/>
    </row>
    <row r="62" spans="18:48" ht="12.75">
      <c r="R62" s="2"/>
      <c r="AV62" s="2"/>
    </row>
    <row r="63" spans="18:48" ht="12.75">
      <c r="R63" s="2"/>
      <c r="AV63" s="2"/>
    </row>
    <row r="64" spans="18:48" ht="12.75">
      <c r="R64" s="2"/>
      <c r="AV64" s="2"/>
    </row>
    <row r="65" spans="18:48" ht="12.75">
      <c r="R65" s="15"/>
      <c r="AV65" s="15"/>
    </row>
  </sheetData>
  <mergeCells count="239">
    <mergeCell ref="AU31:AV31"/>
    <mergeCell ref="Y10:Z10"/>
    <mergeCell ref="Y11:Z11"/>
    <mergeCell ref="Y12:Z12"/>
    <mergeCell ref="Y13:Z13"/>
    <mergeCell ref="Y25:Z25"/>
    <mergeCell ref="Y26:Z26"/>
    <mergeCell ref="Y27:Z27"/>
    <mergeCell ref="Y28:Z28"/>
    <mergeCell ref="Y23:Z23"/>
    <mergeCell ref="V30:W30"/>
    <mergeCell ref="AZ30:BA30"/>
    <mergeCell ref="Y30:Z30"/>
    <mergeCell ref="E31:F31"/>
    <mergeCell ref="K31:L31"/>
    <mergeCell ref="N31:O31"/>
    <mergeCell ref="Q31:R31"/>
    <mergeCell ref="V31:W31"/>
    <mergeCell ref="AZ31:BA31"/>
    <mergeCell ref="Y31:Z31"/>
    <mergeCell ref="E30:F30"/>
    <mergeCell ref="K30:L30"/>
    <mergeCell ref="N30:O30"/>
    <mergeCell ref="Q30:R30"/>
    <mergeCell ref="V28:W28"/>
    <mergeCell ref="AZ28:BA28"/>
    <mergeCell ref="E29:F29"/>
    <mergeCell ref="K29:L29"/>
    <mergeCell ref="N29:O29"/>
    <mergeCell ref="Q29:R29"/>
    <mergeCell ref="V29:W29"/>
    <mergeCell ref="AZ29:BA29"/>
    <mergeCell ref="Y29:Z29"/>
    <mergeCell ref="AO29:AP29"/>
    <mergeCell ref="E28:F28"/>
    <mergeCell ref="K28:L28"/>
    <mergeCell ref="N28:O28"/>
    <mergeCell ref="Q28:R28"/>
    <mergeCell ref="V26:W26"/>
    <mergeCell ref="AZ26:BA26"/>
    <mergeCell ref="E27:F27"/>
    <mergeCell ref="K27:L27"/>
    <mergeCell ref="N27:O27"/>
    <mergeCell ref="Q27:R27"/>
    <mergeCell ref="V27:W27"/>
    <mergeCell ref="AZ27:BA27"/>
    <mergeCell ref="AO27:AP27"/>
    <mergeCell ref="AR27:AS27"/>
    <mergeCell ref="E26:F26"/>
    <mergeCell ref="K26:L26"/>
    <mergeCell ref="N26:O26"/>
    <mergeCell ref="Q26:R26"/>
    <mergeCell ref="Y24:Z24"/>
    <mergeCell ref="E25:F25"/>
    <mergeCell ref="N25:O25"/>
    <mergeCell ref="Q25:R25"/>
    <mergeCell ref="V25:W25"/>
    <mergeCell ref="E24:F24"/>
    <mergeCell ref="N24:O24"/>
    <mergeCell ref="Q24:R24"/>
    <mergeCell ref="V24:W24"/>
    <mergeCell ref="E23:F23"/>
    <mergeCell ref="N23:O23"/>
    <mergeCell ref="Q23:R23"/>
    <mergeCell ref="V23:W23"/>
    <mergeCell ref="AO21:AP21"/>
    <mergeCell ref="E22:F22"/>
    <mergeCell ref="K22:L22"/>
    <mergeCell ref="N22:O22"/>
    <mergeCell ref="Q22:R22"/>
    <mergeCell ref="V22:W22"/>
    <mergeCell ref="Y22:Z22"/>
    <mergeCell ref="AO22:AP22"/>
    <mergeCell ref="K18:L18"/>
    <mergeCell ref="K19:L19"/>
    <mergeCell ref="K20:L20"/>
    <mergeCell ref="K21:L21"/>
    <mergeCell ref="V16:W16"/>
    <mergeCell ref="AZ16:BA16"/>
    <mergeCell ref="Y16:Z16"/>
    <mergeCell ref="E17:F17"/>
    <mergeCell ref="K17:L17"/>
    <mergeCell ref="N17:O17"/>
    <mergeCell ref="Q17:R17"/>
    <mergeCell ref="V17:W17"/>
    <mergeCell ref="AZ17:BA17"/>
    <mergeCell ref="Y17:Z17"/>
    <mergeCell ref="E16:F16"/>
    <mergeCell ref="K16:L16"/>
    <mergeCell ref="N16:O16"/>
    <mergeCell ref="Q16:R16"/>
    <mergeCell ref="V14:W14"/>
    <mergeCell ref="AZ14:BA14"/>
    <mergeCell ref="Y14:Z14"/>
    <mergeCell ref="E15:F15"/>
    <mergeCell ref="K15:L15"/>
    <mergeCell ref="N15:O15"/>
    <mergeCell ref="Q15:R15"/>
    <mergeCell ref="V15:W15"/>
    <mergeCell ref="AZ15:BA15"/>
    <mergeCell ref="Y15:Z15"/>
    <mergeCell ref="E14:F14"/>
    <mergeCell ref="K14:L14"/>
    <mergeCell ref="N14:O14"/>
    <mergeCell ref="Q14:R14"/>
    <mergeCell ref="V13:W13"/>
    <mergeCell ref="AZ13:BA13"/>
    <mergeCell ref="AO13:AP13"/>
    <mergeCell ref="AR13:AS13"/>
    <mergeCell ref="AU13:AV13"/>
    <mergeCell ref="E13:F13"/>
    <mergeCell ref="K13:L13"/>
    <mergeCell ref="N13:O13"/>
    <mergeCell ref="Q13:R13"/>
    <mergeCell ref="V12:W12"/>
    <mergeCell ref="AZ12:BA12"/>
    <mergeCell ref="AO11:AP11"/>
    <mergeCell ref="E11:F11"/>
    <mergeCell ref="E12:F12"/>
    <mergeCell ref="K12:L12"/>
    <mergeCell ref="N12:O12"/>
    <mergeCell ref="Q12:R12"/>
    <mergeCell ref="K11:L11"/>
    <mergeCell ref="N11:O11"/>
    <mergeCell ref="Q11:R11"/>
    <mergeCell ref="V9:W9"/>
    <mergeCell ref="V11:W11"/>
    <mergeCell ref="AZ9:BA9"/>
    <mergeCell ref="Y9:Z9"/>
    <mergeCell ref="AZ10:BA10"/>
    <mergeCell ref="AO10:AP10"/>
    <mergeCell ref="AR10:AS10"/>
    <mergeCell ref="AU10:AV10"/>
    <mergeCell ref="K10:L10"/>
    <mergeCell ref="N10:O10"/>
    <mergeCell ref="Q10:R10"/>
    <mergeCell ref="V10:W10"/>
    <mergeCell ref="E9:F9"/>
    <mergeCell ref="K9:L9"/>
    <mergeCell ref="N9:O9"/>
    <mergeCell ref="Q9:R9"/>
    <mergeCell ref="V7:W7"/>
    <mergeCell ref="AZ7:BA7"/>
    <mergeCell ref="Y7:Z7"/>
    <mergeCell ref="E8:F8"/>
    <mergeCell ref="K8:L8"/>
    <mergeCell ref="N8:O8"/>
    <mergeCell ref="Q8:R8"/>
    <mergeCell ref="V8:W8"/>
    <mergeCell ref="AZ8:BA8"/>
    <mergeCell ref="Y8:Z8"/>
    <mergeCell ref="E6:F7"/>
    <mergeCell ref="A7:B7"/>
    <mergeCell ref="N7:O7"/>
    <mergeCell ref="Q7:R7"/>
    <mergeCell ref="AH5:AL5"/>
    <mergeCell ref="A1:G4"/>
    <mergeCell ref="E5:F5"/>
    <mergeCell ref="Q5:Z5"/>
    <mergeCell ref="J3:AM3"/>
    <mergeCell ref="BL5:BP5"/>
    <mergeCell ref="AR7:AS7"/>
    <mergeCell ref="AU7:AV7"/>
    <mergeCell ref="BC7:BD7"/>
    <mergeCell ref="AN3:BQ3"/>
    <mergeCell ref="BC8:BD8"/>
    <mergeCell ref="AO9:AP9"/>
    <mergeCell ref="AR9:AS9"/>
    <mergeCell ref="AU9:AV9"/>
    <mergeCell ref="BC9:BD9"/>
    <mergeCell ref="AO8:AP8"/>
    <mergeCell ref="AR8:AS8"/>
    <mergeCell ref="AU8:AV8"/>
    <mergeCell ref="AU5:BD5"/>
    <mergeCell ref="BC10:BD10"/>
    <mergeCell ref="AR11:AS11"/>
    <mergeCell ref="AU11:AV11"/>
    <mergeCell ref="BC11:BD11"/>
    <mergeCell ref="AZ11:BA11"/>
    <mergeCell ref="AO12:AP12"/>
    <mergeCell ref="AR12:AS12"/>
    <mergeCell ref="AU12:AV12"/>
    <mergeCell ref="BC12:BD12"/>
    <mergeCell ref="BC13:BD13"/>
    <mergeCell ref="AO14:AP14"/>
    <mergeCell ref="AR14:AS14"/>
    <mergeCell ref="AU14:AV14"/>
    <mergeCell ref="BC14:BD14"/>
    <mergeCell ref="BC15:BD15"/>
    <mergeCell ref="AO16:AP16"/>
    <mergeCell ref="AR16:AS16"/>
    <mergeCell ref="AU16:AV16"/>
    <mergeCell ref="BC16:BD16"/>
    <mergeCell ref="AO15:AP15"/>
    <mergeCell ref="AR15:AS15"/>
    <mergeCell ref="AU15:AV15"/>
    <mergeCell ref="BC17:BD17"/>
    <mergeCell ref="AO18:AP18"/>
    <mergeCell ref="AO19:AP19"/>
    <mergeCell ref="AO20:AP20"/>
    <mergeCell ref="AO17:AP17"/>
    <mergeCell ref="AR17:AS17"/>
    <mergeCell ref="AU17:AV17"/>
    <mergeCell ref="BC22:BD22"/>
    <mergeCell ref="AR23:AS23"/>
    <mergeCell ref="AU23:AV23"/>
    <mergeCell ref="BC23:BD23"/>
    <mergeCell ref="AZ22:BA22"/>
    <mergeCell ref="AR22:AS22"/>
    <mergeCell ref="AU22:AV22"/>
    <mergeCell ref="AZ23:BA23"/>
    <mergeCell ref="AR24:AS24"/>
    <mergeCell ref="AU24:AV24"/>
    <mergeCell ref="BC24:BD24"/>
    <mergeCell ref="AR25:AS25"/>
    <mergeCell ref="AU25:AV25"/>
    <mergeCell ref="BC25:BD25"/>
    <mergeCell ref="AZ24:BA24"/>
    <mergeCell ref="AZ25:BA25"/>
    <mergeCell ref="AO26:AP26"/>
    <mergeCell ref="AR26:AS26"/>
    <mergeCell ref="AU26:AV26"/>
    <mergeCell ref="BC26:BD26"/>
    <mergeCell ref="BC27:BD27"/>
    <mergeCell ref="AO28:AP28"/>
    <mergeCell ref="AR28:AS28"/>
    <mergeCell ref="AU28:AV28"/>
    <mergeCell ref="BC28:BD28"/>
    <mergeCell ref="AU27:AV27"/>
    <mergeCell ref="BC31:BD31"/>
    <mergeCell ref="BC29:BD29"/>
    <mergeCell ref="AO30:AP30"/>
    <mergeCell ref="AR30:AS30"/>
    <mergeCell ref="AU30:AV30"/>
    <mergeCell ref="BC30:BD30"/>
    <mergeCell ref="AR29:AS29"/>
    <mergeCell ref="AU29:AV29"/>
    <mergeCell ref="AO31:AP31"/>
    <mergeCell ref="AR31:AS31"/>
  </mergeCells>
  <printOptions/>
  <pageMargins left="0.31496062992125984" right="0" top="0.31496062992125984" bottom="0" header="0.5118110236220472" footer="0.5118110236220472"/>
  <pageSetup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PB18278</dc:creator>
  <cp:keywords/>
  <dc:description/>
  <cp:lastModifiedBy>pb15448</cp:lastModifiedBy>
  <cp:lastPrinted>2009-01-08T10:29:21Z</cp:lastPrinted>
  <dcterms:created xsi:type="dcterms:W3CDTF">2003-01-08T10:20:52Z</dcterms:created>
  <dcterms:modified xsi:type="dcterms:W3CDTF">2009-01-08T10:33:53Z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-1585112609</vt:i4>
  </property>
  <property fmtid="{D5CDD505-2E9C-101B-9397-08002B2CF9AE}" pid="3" name="_EmailSubject">
    <vt:lpwstr>Gehaltstabellen Ärzte </vt:lpwstr>
  </property>
  <property fmtid="{D5CDD505-2E9C-101B-9397-08002B2CF9AE}" pid="4" name="_AuthorEmail">
    <vt:lpwstr>Dietmar.Sparber@provinz.bz.it</vt:lpwstr>
  </property>
  <property fmtid="{D5CDD505-2E9C-101B-9397-08002B2CF9AE}" pid="5" name="_AuthorEmailDisplayName">
    <vt:lpwstr>Sparber, Dietmar</vt:lpwstr>
  </property>
  <property fmtid="{D5CDD505-2E9C-101B-9397-08002B2CF9AE}" pid="6" name="_PreviousAdHocReviewCycleID">
    <vt:i4>-961087592</vt:i4>
  </property>
  <property fmtid="{D5CDD505-2E9C-101B-9397-08002B2CF9AE}" pid="7" name="_ReviewingToolsShownOnce">
    <vt:lpwstr/>
  </property>
</Properties>
</file>